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9A9A6252-C713-4C14-898A-CF80470D7837}" xr6:coauthVersionLast="36" xr6:coauthVersionMax="45" xr10:uidLastSave="{00000000-0000-0000-0000-000000000000}"/>
  <bookViews>
    <workbookView xWindow="0" yWindow="0" windowWidth="28800" windowHeight="9105"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 name="_xlnm.Print_Titles" localSheetId="2">'Análisis Resultados'!$17:$18</definedName>
    <definedName name="_xlnm.Print_Titles" localSheetId="3">Conclusión!$3:$18</definedName>
    <definedName name="_xlnm.Print_Titles" localSheetId="1">'Estado SCI'!$14:$15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<sst xmlns="http://schemas.openxmlformats.org/spreadsheetml/2006/main" count="514" uniqueCount="243">
  <si>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</si>
  <si>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</si>
  <si>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</si>
  <si>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</si>
  <si>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</si>
  <si>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</si>
  <si>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</si>
  <si>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</si>
  <si>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</si>
  <si>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</si>
  <si>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</si>
  <si>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</si>
  <si>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</si>
  <si>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</si>
  <si>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</si>
  <si>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</si>
  <si>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</si>
  <si>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</si>
  <si>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</si>
  <si>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</si>
  <si>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</si>
  <si>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</si>
  <si>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</si>
  <si>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</si>
  <si>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</si>
  <si>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</si>
  <si>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</si>
  <si>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</si>
  <si>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</si>
  <si>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</si>
  <si>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</si>
  <si>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</si>
  <si>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</si>
  <si>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</si>
  <si>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</si>
  <si>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</si>
  <si>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</si>
  <si>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</si>
  <si>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</si>
  <si>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</si>
  <si>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</si>
  <si>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</si>
  <si>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</si>
  <si>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</si>
  <si>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</si>
  <si>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</si>
  <si>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</si>
  <si>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</si>
  <si>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</si>
  <si>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</si>
  <si>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</si>
  <si>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</si>
  <si>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</si>
  <si>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</si>
  <si>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</si>
  <si>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</si>
  <si>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</si>
  <si>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</si>
  <si>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</si>
  <si>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</si>
  <si>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</si>
  <si>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</si>
  <si>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</si>
  <si>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</si>
  <si>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</si>
  <si>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</si>
  <si>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</si>
  <si>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</si>
  <si>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</si>
  <si>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</si>
  <si>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</si>
  <si>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</si>
  <si>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</si>
  <si>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</si>
  <si>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</si>
  <si>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</si>
  <si>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</si>
  <si>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</si>
  <si>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</si>
  <si>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</si>
  <si>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</si>
  <si>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</si>
  <si>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</si>
  <si>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</si>
  <si>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</si>
  <si>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</si>
  <si>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</si>
  <si>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</si>
  <si>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</si>
  <si>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</si>
  <si>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</si>
  <si>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</si>
  <si>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</si>
  <si>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</si>
  <si>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</si>
  <si>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</si>
  <si>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</si>
  <si>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</si>
  <si>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</si>
  <si>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</si>
  <si>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</si>
  <si>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</si>
  <si>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</si>
  <si>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</si>
  <si>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</si>
  <si>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</si>
  <si>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</si>
  <si>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</si>
  <si>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</si>
  <si>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</si>
  <si>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</si>
  <si>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</si>
  <si>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</si>
  <si>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</si>
  <si>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</si>
  <si>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</si>
  <si>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</si>
  <si>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</si>
  <si>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</si>
  <si>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</si>
  <si>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</si>
  <si>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</si>
  <si>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</si>
  <si>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</si>
  <si>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</si>
  <si>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</si>
  <si>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</si>
  <si>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</si>
  <si>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</si>
  <si>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</si>
  <si>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</si>
  <si>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</si>
  <si>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</si>
  <si>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</si>
  <si>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</si>
  <si>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</si>
  <si>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</si>
  <si>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</si>
  <si>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</si>
  <si>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</si>
  <si>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</si>
  <si>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</si>
  <si>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</si>
  <si>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</si>
  <si>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</si>
  <si>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</si>
  <si>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</si>
  <si>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</si>
  <si>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</si>
  <si>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</si>
  <si>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</si>
  <si>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</si>
  <si>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</si>
  <si>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</si>
  <si>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</si>
  <si>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</si>
  <si>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</si>
  <si>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</si>
  <si>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</si>
  <si>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</si>
  <si>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</si>
  <si>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</si>
  <si>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</si>
  <si>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</si>
  <si>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</si>
  <si>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</si>
  <si>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</si>
  <si>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</si>
  <si>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</si>
  <si>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</si>
  <si>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</si>
  <si>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</si>
  <si>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</si>
  <si>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</si>
  <si>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</si>
  <si>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</si>
  <si>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</si>
  <si>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</si>
  <si>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</si>
  <si>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</si>
  <si>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</si>
  <si>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</si>
  <si>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</si>
  <si>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</si>
  <si>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</si>
  <si>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</si>
  <si>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</si>
  <si>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</si>
  <si>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</si>
  <si>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La entidad no participa en el Comité Municipal de Auditoría.</t>
  </si>
  <si>
    <t>Mediante la  formulación del Plan de Desarrollo Institucional la gerencia pretende controlar las deficiencias encontradas en la entidad, con los planes de acción y planes de mejoramiento.</t>
  </si>
  <si>
    <t>La gerencia define responsabilidades para que cada líder de equipo tome las acciones para solucionar los inconvenientes presentados, se deben cumplir dentro de las fechas establecidas.</t>
  </si>
  <si>
    <t>En el mes de enero la entidad elaboró el Plan Anticorrupción y Atención al Ciudadano y fue publicado en la página web.</t>
  </si>
  <si>
    <t>La gerencia da solución a los problemas presentados, con el fin de cumplir con las metas y objetivos de la entidad.</t>
  </si>
  <si>
    <t>Se recomienda realizar el ajuste a los Planes de Acción para controlar los problemas de cumplimiento de las metas institucionales.</t>
  </si>
  <si>
    <t>La gerencia mediante los espacios de reunión gestiona la solución de los problemas institucionales.</t>
  </si>
  <si>
    <t>ESE HOSPITAL DEL ROSARIO DE CAMPOALEGRE</t>
  </si>
  <si>
    <t>El informe de gestión fue subido oportunamente a la plataforma del SINTERCADH de la Contraloría Departamental del Huila.</t>
  </si>
  <si>
    <r>
      <rPr>
        <b/>
        <u/>
        <sz val="26"/>
        <color theme="0"/>
        <rFont val="Arial"/>
        <family val="2"/>
      </rPr>
      <t xml:space="preserve"> Estado actual:</t>
    </r>
    <r>
      <rPr>
        <b/>
        <sz val="26"/>
        <color theme="0"/>
        <rFont val="Arial"/>
        <family val="2"/>
      </rPr>
      <t xml:space="preserve"> Explicacion de las Debilidades y/o Fortalezas encontradas en cada componente</t>
    </r>
  </si>
  <si>
    <t>El Hospital cuenta con el acto admiistrativo documentado del Codigo de Integridad, principios y valores institucionales el cual se encuentra publicado en la pagina web institucional.</t>
  </si>
  <si>
    <t>El Modelo Estándar de Control Interno para el Estado Colombiano MECI se encuentra doptado en el Hospital mediante acto administrativo., el cual se encuentra publicado en la pagina web institucional.</t>
  </si>
  <si>
    <t>El Hospital crea e implementa anualmente los planes del Decreto 612 de 2018, semestralmente se hace seguimiento al cumplimiento, se encuentra publicado en la pagina web institucional.</t>
  </si>
  <si>
    <t>El Hospital cumple con el proceso de desvinculación y realiza las actividades correspondientes antes de su retiro, a través del área de Talento Humano.</t>
  </si>
  <si>
    <t>El Hospital realiza la evaluación a los funcionarios mediante el aplicativo EDL de la CNSC,  a través del área de Talento Humano.</t>
  </si>
  <si>
    <t>El Hospital cumple con el proeso de inducción, al momento de ingresar un funcionario o contratista,  a través del área de Talento Humano.</t>
  </si>
  <si>
    <t>El Hospital cumple con el marco normativo vigente para la vinculación de servidores publicos, a través del área de Talento Humano.</t>
  </si>
  <si>
    <t>El Hospital cuenta con procesos y procedimientos. Se esta ralizando el proceso de actualización. Se encuentra Bases T.  a través del área de Calidad.</t>
  </si>
  <si>
    <t>El Hospital cuenta cuenta con un manual de funciones establecido y adoptado, se encuentra publicado en la pagina web institucional,  a través del área de Talento Humano.</t>
  </si>
  <si>
    <t>El Hospital cuenta con un organigrama establecido y adoptado,se encuentra publicado en la pagina web institucional,  a través del área de Talento Humano.</t>
  </si>
  <si>
    <t>El Hospital cumple con el proceso de Rendición de Cuentas para cada vigencia, los soportes se encuentran publicados en la página web institucional.</t>
  </si>
  <si>
    <t>La ESE se encuentra actualizando  el mapa de procesos, procedimientos y riesgos, conforme las normas vgentes en salud.</t>
  </si>
  <si>
    <t>El Hospital cumple con la elaboración y seguimiento cuatrimestral del Plan Anticorrupocion, para cada vigencia..</t>
  </si>
  <si>
    <t>El Hospital elaboró el Plan de Tratamiento de Riesgos de Seguridad y Privacidad de la Información, el PETI.</t>
  </si>
  <si>
    <t>Se cumple a través de los líderes quienes informan oportunamente el seguimiento de los riesgos presentados en sus programas, proyectos o procesos, estos son llevados  en los Comités administrativos y asistenciales que realzia la Gerencia.</t>
  </si>
  <si>
    <t>Se informa de manera periodica y oportuna el desempeño de las actividades de gestión de riesgos en los programas, proyectos o procesos que tienen a cargo.</t>
  </si>
  <si>
    <t>Los líderes deben identificar oportunamente las debilidades de los riesgos presentados en sus programas, proyectos o procesos que tienen a cargo, estos son llevados  en los Comités administrativos y asistenciales que realzia la Gerencia.</t>
  </si>
  <si>
    <t>La gerencia realiza Comités administrativos y asistenciales semanalmente.</t>
  </si>
  <si>
    <t>La gerencia lidera las acciones de mejora, producto de, las recomendaciones del asesor de control interno y de los comites administrativos y asistenciales.</t>
  </si>
  <si>
    <t>El Hospital define las acciones para los problemas identificados.en cada área y que son tratados en los comites administrativos y asistenciales.</t>
  </si>
  <si>
    <t>La gerencia realiza las recomendaciones correspondientes y deja constancias en los comites administrativos y asistenciales.</t>
  </si>
  <si>
    <t>La gerencia realiza las recomendaciones correspondientes para subsanar cualquier posibilidad d ematerializacion del riesgo y deja constancias en los comites administrativos y asistenciales.</t>
  </si>
  <si>
    <t>El Hospital cuenta con el documento que consolide los riesgos el cual se publico en el mes de enero de la vigencia.</t>
  </si>
  <si>
    <t>Se cumple con los actos administrativos Cada jefe de unidad administrativa.</t>
  </si>
  <si>
    <t>La entidad tiene elaborado el plan de acción para el cumplimiento de los programas, el cual se encuentra publicado en la página web institucional.</t>
  </si>
  <si>
    <t>Se realizan todos los informes institucionales a cargo de Control Interno para el seguimiento del SCI, además se encuentra creado el Comité Institucional de Coordinación de Control Interno.</t>
  </si>
  <si>
    <t>Se realizan recomendaciones para la mejora continua, asi como se realizan planes demejoramiento Estas medidas correctivas se socializan desde el Comité Institucional de Coordinación de Control Interno.</t>
  </si>
  <si>
    <t>El Hospital tiene habillitado los canales de comunicación con los ciudadanos, mediante la página web institucional, facebook y la oficina del SIAU.</t>
  </si>
  <si>
    <t>El Hospital tiene habillitado los canales de comunicación con los ciudadanos, mediante la página web institucional, facebook y la oficina del SIAU.se utilizan plataformas virtuales.</t>
  </si>
  <si>
    <t>El Hospital en cada vigencia elabora y cumple con el Plan de Tratamiento de Riesgos de Seguridad y Privacidad de la Información.</t>
  </si>
  <si>
    <t>El Hospital realliza las publicaciones de la información mediante la página web institucional y pagina de facebook.</t>
  </si>
  <si>
    <t>La entidad cuenta con la información necesaria para su operación y cumplimiento de metas, el cual se encuentra publicada en la página web institucional.</t>
  </si>
  <si>
    <t>Se cuenta con página web, facebokk y correos electrónicos corporativos.</t>
  </si>
  <si>
    <t>Se realiza el seguimiento a los planes de mejoramientos internos, a la fecha la entidad no tiene con estes externos. Se publican en las plaatformas de los entes de control.</t>
  </si>
  <si>
    <t>se realzia seguimiento a través de  los comites administrativos y asistenciales.</t>
  </si>
  <si>
    <t>01 JULIO a 31 de Diciembre de 2022</t>
  </si>
  <si>
    <t xml:space="preserve">La ESE Hospital del Rosario de Campoalegre cuenta con la operatividad de los componentes de Ambiente de Control, Actividades de Control, Evaluación del Riesgo, Actividades de Monitoreo Continuo y Acciones para mejorar la  Información y la Comunicación, bajo la coordinación de la Gerencia y el nivel directivo a través de los Comités gestión que permite un desarrollo adecuado en las diferentes actividades.
Estas acciones permiten fortalecer la gestión del riesgo, a través de la aplicación del autocontrol y las lineas de defensa.  </t>
  </si>
  <si>
    <t>El Sistema de Control Interno de la ESE Hospital del Rosario de Campoalegre, durante el segundo semestre de 2022, mantuvo la coordinación de los procesos de control, logrando efectividad en los resultados, a través de la aplicación del Autocontrol, Autorregulación y Autogestión.</t>
  </si>
  <si>
    <t>La ESE Hospital del Rosario de Campoalegre identifica y aplica sus  líneas de defensa.
La Gerencia fortalece los componentes de Ambientes de Control, Actividades de Control y el Componente de Evaluación del Riesgo, con las Actividades de Monitoreo continuo y de autocontrol,  lo que le ha permitido el mejoramiento de la Información y la Comunicación desde la alta dirección, a través de los comités institucionales a las áreas asistenciales y administrativas, con lo cual se distribuye de forma adecuada a los integrantes de cada una de las líneas de defensa de la ESE, logrando obtener la información oportuna y precisa para la toma de decisiones.</t>
  </si>
  <si>
    <t>Fortalezas: 
•	La ESE Hospital del Rosario de Campoalegre dispone de las condiciones de ambiente de control (Código de Integridad, CICCI, Politica de Riesgos, lineamientos en la Gestión del Talento Humano, líneas de defensa, entre otros mecanismo de control).
•	Para el ejercicio de Control Interno, existe liderazgo, compromiso de la Gerencia y del Comitè Institucional de Coordinación de Control Interno en donde se vienen incluyendo temas relevantes.
•	En el  Comité de Gestión y Desempeño se analizan y revisan los autodiagnosticos MIPG, planes de acción, avances y recomendaciones.
•	La ESE Hospital del Rosario de Campoalegre atiende las denuncias sobre situaciones de posible corrupción, irregulares o posibles incumplimientos al código de integridad.</t>
  </si>
  <si>
    <r>
      <rPr>
        <b/>
        <sz val="18"/>
        <color theme="1"/>
        <rFont val="Arial"/>
        <family val="2"/>
      </rPr>
      <t xml:space="preserve">Fortalezas: 
• </t>
    </r>
    <r>
      <rPr>
        <sz val="18"/>
        <color theme="1"/>
        <rFont val="Arial"/>
        <family val="2"/>
      </rPr>
      <t>Se toman mejores decisiones en razón a las periódicas evaluaciones de control realizadas en Comité de Gerencia y en el Comité Institucional de Coordinación de Control Interno como en Equipo de Mejoramiento Institucional. 
• La ESE Hospital del Rosario de Campoalegre, cuenta con Politica de Riesgos, bajo el liderazgo de la Gerencia identificando, evaluando y administrando riesgos para evitar su posible ocurrencia ó mitigar sus posibles impactos en caso de materializaciòn.
• En el Comité de Gestión y Desempeño se analizan y revisan los autodiagnosticos de MIPG, planes de acciòn, avances y recomendaciones.
• Se viene capacitando en la Administraciòn del Riesgo.</t>
    </r>
  </si>
  <si>
    <r>
      <rPr>
        <b/>
        <sz val="18"/>
        <color theme="1"/>
        <rFont val="Arial"/>
        <family val="2"/>
      </rPr>
      <t xml:space="preserve">Fortalezas: 
• </t>
    </r>
    <r>
      <rPr>
        <sz val="18"/>
        <color theme="1"/>
        <rFont val="Arial"/>
        <family val="2"/>
      </rPr>
      <t>La ESE Hospital del Rosario de Campoalegre, satisface la necesidad de divulgar los resultados de su gestión, procura por la comunicación e información interna como externamente.
• Se cuenta con sistemas especializados de información para capturar y procesar datos como fuente o insumo para la toma de decisiones en la consecución de las metas y objetivos.</t>
    </r>
  </si>
  <si>
    <r>
      <rPr>
        <b/>
        <sz val="18"/>
        <color theme="1"/>
        <rFont val="Arial"/>
        <family val="2"/>
      </rPr>
      <t xml:space="preserve">Fortalezas: 
• </t>
    </r>
    <r>
      <rPr>
        <sz val="18"/>
        <color theme="1"/>
        <rFont val="Arial"/>
        <family val="2"/>
      </rPr>
      <t>La ESE Hospital del Rosario de Campoalegre realiza actividades de evaluación del Sistema de Control Interno.
• Se reaizaron jornadas de capacitación, en las que se socializó la Politica y la Guia de Riesgos además de la herramienta para la identificación y valoración de riesgos.
• Se realizó campaña de autocontrol.</t>
    </r>
  </si>
  <si>
    <r>
      <rPr>
        <b/>
        <sz val="18"/>
        <color theme="1"/>
        <rFont val="Arial"/>
        <family val="2"/>
      </rPr>
      <t xml:space="preserve">Fortalezas: </t>
    </r>
    <r>
      <rPr>
        <sz val="18"/>
        <color theme="1"/>
        <rFont val="Arial"/>
        <family val="2"/>
      </rPr>
      <t xml:space="preserve">
• Se toman mejores decisiones en razón a las periódicas evaluaciones de control realizadas en Comité de Gerencia y en el Comité Institucional de Coordinación de Control Interno como en Equipo de Mejoramiento Institucional. 
• La ESE Hospital del Rosario de Campoalegre cuenta con Politica de Riesgos, bajo el liderazgo de la Gerencia identificando, evaluando y administrando riesgos para evitar su posible ocurrencia ó mitigar sus posibles impactos en caso de materializaciòn.
• En el Comitè de Gestiòn y Desempeño se analizan y revisan los autodiagnosticos de MIPG, planes de acciòn, avances y recomendaciones.
• Se viene capacitando en la Administraciòn del Riesgo.
</t>
    </r>
    <r>
      <rPr>
        <b/>
        <sz val="18"/>
        <color theme="1"/>
        <rFont val="Arial"/>
        <family val="2"/>
      </rPr>
      <t>Debilidades:</t>
    </r>
    <r>
      <rPr>
        <sz val="18"/>
        <color theme="1"/>
        <rFont val="Arial"/>
        <family val="2"/>
      </rPr>
      <t xml:space="preserve">
•	Fortalecer las actividades para la implementación de la política de administración del riesgo con la participación activa de los lideres de procesos.
•	Fortalecer las actividades de articulación entre la primera y segunda línea de defensa ,para garantizar el 100% de  la evaluación permanente durante el año.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</si>
</sst>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0"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sz val="18"/>
      <color theme="1"/>
      <name val="Arial"/>
      <family val="2"/>
    </font>
    <font>
      <sz val="18"/>
      <color theme="1"/>
      <name val="Arial Narrow"/>
      <family val="2"/>
    </font>
    <font>
      <b/>
      <sz val="16"/>
      <name val="Arial"/>
      <family val="2"/>
    </font>
    <font>
      <sz val="36"/>
      <color theme="1"/>
      <name val="Arial Narrow"/>
      <family val="2"/>
    </font>
    <font>
      <b/>
      <sz val="24"/>
      <name val="Arial"/>
      <family val="2"/>
    </font>
    <font>
      <b/>
      <sz val="36"/>
      <name val="Arial"/>
      <family val="2"/>
    </font>
    <font>
      <b/>
      <sz val="26"/>
      <color theme="0"/>
      <name val="Arial Narrow"/>
      <family val="2"/>
    </font>
    <font>
      <sz val="26"/>
      <color theme="1"/>
      <name val="Arial"/>
      <family val="2"/>
    </font>
    <font>
      <sz val="20"/>
      <color theme="1"/>
      <name val="Arial"/>
      <family val="2"/>
    </font>
    <font>
      <sz val="11"/>
      <color theme="1"/>
      <name val="Arial"/>
      <family val="2"/>
    </font>
    <font>
      <sz val="16"/>
      <color theme="1"/>
      <name val="Arial"/>
      <family val="2"/>
    </font>
    <font>
      <b/>
      <sz val="18"/>
      <color theme="1"/>
      <name val="Arial"/>
      <family val="2"/>
    </font>
    <font>
      <b/>
      <sz val="26"/>
      <color theme="0"/>
      <name val="Arial"/>
      <family val="2"/>
    </font>
    <font>
      <b/>
      <sz val="26"/>
      <name val="Arial"/>
      <family val="2"/>
    </font>
    <font>
      <b/>
      <sz val="26"/>
      <color theme="1"/>
      <name val="Arial"/>
      <family val="2"/>
    </font>
    <font>
      <b/>
      <sz val="10"/>
      <color theme="0"/>
      <name val="Arial"/>
      <family val="2"/>
    </font>
    <font>
      <b/>
      <sz val="10"/>
      <name val="Arial"/>
      <family val="2"/>
    </font>
    <font>
      <b/>
      <sz val="22"/>
      <color theme="0"/>
      <name val="Arial"/>
      <family val="2"/>
    </font>
    <font>
      <b/>
      <sz val="28"/>
      <color theme="0"/>
      <name val="Arial"/>
      <family val="2"/>
    </font>
    <font>
      <b/>
      <u/>
      <sz val="26"/>
      <color theme="0"/>
      <name val="Arial"/>
      <family val="2"/>
    </font>
    <font>
      <b/>
      <sz val="36"/>
      <color theme="0"/>
      <name val="Arial"/>
      <family val="2"/>
    </font>
    <font>
      <b/>
      <sz val="24"/>
      <color theme="0"/>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3">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5">
    <xf numFmtId="0" fontId="0" fillId="0" borderId="0"/>
    <xf numFmtId="9" fontId="3" fillId="0" borderId="0" applyFont="0" applyFill="0" applyBorder="0" applyAlignment="0" applyProtection="0"/>
    <xf numFmtId="0" fontId="20" fillId="0" borderId="0"/>
    <xf numFmtId="0" fontId="28" fillId="0" borderId="0"/>
    <xf numFmtId="0" fontId="32" fillId="0" borderId="0"/>
  </cellStyleXfs>
  <cellXfs count="355">
    <xf numFmtId="0" fontId="0" fillId="0" borderId="0" xfId="0"/>
    <xf numFmtId="0" fontId="0" fillId="4" borderId="0" xfId="0" applyFill="1"/>
    <xf numFmtId="0" fontId="0" fillId="4" borderId="17" xfId="0" applyFill="1" applyBorder="1"/>
    <xf numFmtId="0" fontId="0" fillId="4" borderId="0" xfId="0" applyFill="1" applyBorder="1"/>
    <xf numFmtId="0" fontId="7" fillId="4" borderId="0" xfId="0" applyFont="1" applyFill="1" applyBorder="1" applyAlignment="1">
      <alignment horizontal="center"/>
    </xf>
    <xf numFmtId="0" fontId="0" fillId="4" borderId="18"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9" fontId="2" fillId="0" borderId="0" xfId="0" applyNumberFormat="1" applyFont="1" applyFill="1" applyBorder="1" applyAlignment="1">
      <alignment vertical="center"/>
    </xf>
    <xf numFmtId="0" fontId="2" fillId="4" borderId="18" xfId="0" applyFont="1" applyFill="1" applyBorder="1" applyAlignment="1">
      <alignment vertical="center"/>
    </xf>
    <xf numFmtId="0" fontId="2" fillId="4" borderId="0" xfId="0" applyFont="1" applyFill="1" applyBorder="1" applyAlignment="1">
      <alignment vertical="center"/>
    </xf>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4" fillId="4" borderId="0" xfId="0" applyFont="1" applyFill="1" applyBorder="1" applyAlignment="1">
      <alignment vertical="center"/>
    </xf>
    <xf numFmtId="0" fontId="15" fillId="4" borderId="0" xfId="0" applyFont="1" applyFill="1" applyBorder="1"/>
    <xf numFmtId="0" fontId="0" fillId="4" borderId="30" xfId="0" applyFill="1" applyBorder="1"/>
    <xf numFmtId="0" fontId="0" fillId="4" borderId="31" xfId="0" applyFill="1" applyBorder="1"/>
    <xf numFmtId="0" fontId="0" fillId="4" borderId="32" xfId="0" applyFill="1" applyBorder="1"/>
    <xf numFmtId="0" fontId="19"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1" fillId="0" borderId="0" xfId="2" applyFont="1" applyFill="1" applyAlignment="1" applyProtection="1">
      <alignment vertical="center"/>
      <protection locked="0"/>
    </xf>
    <xf numFmtId="49" fontId="23" fillId="4" borderId="0" xfId="2" applyNumberFormat="1" applyFont="1" applyFill="1" applyAlignment="1" applyProtection="1">
      <alignment vertical="center"/>
      <protection locked="0"/>
    </xf>
    <xf numFmtId="0" fontId="23" fillId="4" borderId="0" xfId="2" applyFont="1" applyFill="1" applyAlignment="1" applyProtection="1">
      <alignment vertical="center"/>
      <protection locked="0"/>
    </xf>
    <xf numFmtId="9" fontId="25" fillId="4" borderId="0" xfId="2" applyNumberFormat="1" applyFont="1" applyFill="1" applyAlignment="1" applyProtection="1">
      <alignment vertical="center"/>
      <protection locked="0"/>
    </xf>
    <xf numFmtId="9" fontId="21" fillId="4" borderId="0" xfId="1" applyFont="1" applyFill="1" applyAlignment="1" applyProtection="1">
      <alignment vertical="center"/>
      <protection locked="0"/>
    </xf>
    <xf numFmtId="9" fontId="21" fillId="4" borderId="0" xfId="2" applyNumberFormat="1" applyFont="1" applyFill="1" applyAlignment="1" applyProtection="1">
      <alignment vertical="center"/>
      <protection locked="0"/>
    </xf>
    <xf numFmtId="0" fontId="25" fillId="4" borderId="0" xfId="2" applyFont="1" applyFill="1" applyAlignment="1" applyProtection="1">
      <alignment vertical="center"/>
      <protection locked="0"/>
    </xf>
    <xf numFmtId="0" fontId="25" fillId="0" borderId="0" xfId="3" applyFont="1" applyProtection="1"/>
    <xf numFmtId="0" fontId="7" fillId="4" borderId="0" xfId="0" applyFont="1" applyFill="1"/>
    <xf numFmtId="0" fontId="7" fillId="0" borderId="0" xfId="0" applyFont="1"/>
    <xf numFmtId="0" fontId="35" fillId="0" borderId="0" xfId="0" applyFont="1" applyAlignment="1">
      <alignment vertical="top"/>
    </xf>
    <xf numFmtId="49" fontId="35" fillId="0" borderId="0" xfId="0" applyNumberFormat="1" applyFont="1" applyAlignment="1">
      <alignment horizontal="center" vertical="top"/>
    </xf>
    <xf numFmtId="0" fontId="21" fillId="4" borderId="0" xfId="2" applyFont="1" applyFill="1" applyAlignment="1" applyProtection="1">
      <alignment vertical="center"/>
      <protection locked="0"/>
    </xf>
    <xf numFmtId="0" fontId="25" fillId="4" borderId="0" xfId="3" applyFont="1" applyFill="1" applyBorder="1" applyProtection="1"/>
    <xf numFmtId="0" fontId="25" fillId="4" borderId="55" xfId="3" applyFont="1" applyFill="1" applyBorder="1" applyAlignment="1" applyProtection="1">
      <alignment vertical="top" wrapText="1"/>
    </xf>
    <xf numFmtId="0" fontId="25" fillId="4" borderId="0" xfId="3" applyFont="1" applyFill="1" applyBorder="1" applyAlignment="1" applyProtection="1">
      <alignment vertical="top" wrapText="1"/>
    </xf>
    <xf numFmtId="0" fontId="25" fillId="4" borderId="56" xfId="3" applyFont="1" applyFill="1" applyBorder="1" applyAlignment="1" applyProtection="1">
      <alignment vertical="top" wrapText="1"/>
    </xf>
    <xf numFmtId="0" fontId="25" fillId="4" borderId="55" xfId="3" applyFont="1" applyFill="1" applyBorder="1" applyAlignment="1" applyProtection="1">
      <alignment horizontal="left" vertical="top"/>
    </xf>
    <xf numFmtId="0" fontId="25" fillId="4" borderId="56" xfId="3" applyFont="1" applyFill="1" applyBorder="1" applyAlignment="1" applyProtection="1">
      <alignment horizontal="left" vertical="top"/>
    </xf>
    <xf numFmtId="0" fontId="25" fillId="4" borderId="55" xfId="3" applyFont="1" applyFill="1" applyBorder="1" applyProtection="1"/>
    <xf numFmtId="0" fontId="33" fillId="4" borderId="0" xfId="4" applyFont="1" applyFill="1" applyBorder="1" applyAlignment="1" applyProtection="1">
      <alignment horizontal="left" vertical="top" wrapText="1" readingOrder="1"/>
    </xf>
    <xf numFmtId="0" fontId="25" fillId="4" borderId="56" xfId="3" applyFont="1" applyFill="1" applyBorder="1" applyProtection="1"/>
    <xf numFmtId="0" fontId="25" fillId="4" borderId="68" xfId="3" applyFont="1" applyFill="1" applyBorder="1" applyProtection="1"/>
    <xf numFmtId="0" fontId="25" fillId="4" borderId="69" xfId="3" applyFont="1" applyFill="1" applyBorder="1" applyProtection="1"/>
    <xf numFmtId="0" fontId="25" fillId="4" borderId="70" xfId="3" applyFont="1" applyFill="1" applyBorder="1" applyProtection="1"/>
    <xf numFmtId="0" fontId="33" fillId="4" borderId="0" xfId="0" applyFont="1" applyFill="1" applyBorder="1" applyAlignment="1" applyProtection="1">
      <alignment horizontal="left" vertical="center" wrapText="1"/>
    </xf>
    <xf numFmtId="0" fontId="34" fillId="4" borderId="0" xfId="0" applyFont="1" applyFill="1" applyBorder="1" applyAlignment="1" applyProtection="1">
      <alignment horizontal="left" vertical="top" wrapText="1"/>
    </xf>
    <xf numFmtId="0" fontId="25" fillId="4" borderId="0" xfId="3" quotePrefix="1" applyFont="1" applyFill="1" applyBorder="1" applyAlignment="1" applyProtection="1">
      <alignment horizontal="left" vertical="center" wrapText="1"/>
    </xf>
    <xf numFmtId="0" fontId="25" fillId="4" borderId="56" xfId="3" applyFont="1" applyFill="1" applyBorder="1" applyAlignment="1" applyProtection="1"/>
    <xf numFmtId="0" fontId="31" fillId="4" borderId="0" xfId="3" applyFont="1" applyFill="1" applyBorder="1" applyAlignment="1" applyProtection="1">
      <alignment horizontal="left" vertical="center" wrapText="1"/>
    </xf>
    <xf numFmtId="0" fontId="25"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49" fontId="44" fillId="5" borderId="7" xfId="0" applyNumberFormat="1"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10" xfId="0" applyFont="1" applyFill="1" applyBorder="1" applyAlignment="1">
      <alignment horizontal="center" vertical="center" wrapText="1"/>
    </xf>
    <xf numFmtId="0" fontId="44" fillId="5" borderId="5" xfId="0" applyFont="1" applyFill="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3" xfId="0" applyFont="1" applyFill="1" applyBorder="1" applyAlignment="1">
      <alignment horizontal="center" vertical="center" wrapText="1"/>
    </xf>
    <xf numFmtId="0" fontId="48" fillId="0" borderId="0" xfId="0" applyFont="1" applyBorder="1" applyAlignment="1">
      <alignment horizontal="center" wrapText="1"/>
    </xf>
    <xf numFmtId="0" fontId="41" fillId="0" borderId="0" xfId="0" applyFont="1" applyFill="1" applyBorder="1" applyAlignment="1">
      <alignment horizontal="center" vertical="center" wrapText="1"/>
    </xf>
    <xf numFmtId="0" fontId="24" fillId="4" borderId="0" xfId="2" applyNumberFormat="1" applyFont="1" applyFill="1" applyBorder="1" applyAlignment="1" applyProtection="1">
      <alignment vertical="center" wrapText="1"/>
    </xf>
    <xf numFmtId="0" fontId="34" fillId="4" borderId="0" xfId="2" applyFont="1" applyFill="1" applyBorder="1" applyAlignment="1" applyProtection="1">
      <alignment vertical="center" wrapText="1"/>
    </xf>
    <xf numFmtId="0" fontId="35" fillId="0" borderId="0" xfId="0" applyNumberFormat="1" applyFont="1" applyAlignment="1" applyProtection="1">
      <alignment horizontal="center" vertical="top"/>
      <protection hidden="1"/>
    </xf>
    <xf numFmtId="0" fontId="37" fillId="0" borderId="75"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8"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7" fillId="0" borderId="9" xfId="0" applyFont="1" applyBorder="1" applyAlignment="1" applyProtection="1">
      <alignment horizontal="center" vertical="center" wrapText="1"/>
      <protection hidden="1"/>
    </xf>
    <xf numFmtId="0" fontId="37" fillId="0" borderId="76"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7" fillId="0" borderId="75" xfId="0" applyFont="1" applyFill="1" applyBorder="1" applyAlignment="1" applyProtection="1">
      <alignment horizontal="center" vertical="center" wrapText="1"/>
      <protection hidden="1"/>
    </xf>
    <xf numFmtId="0" fontId="42" fillId="0" borderId="2" xfId="0" applyFont="1" applyBorder="1" applyAlignment="1" applyProtection="1">
      <alignment horizontal="center" vertical="center" wrapText="1"/>
      <protection locked="0"/>
    </xf>
    <xf numFmtId="0" fontId="42" fillId="0" borderId="3" xfId="0" applyFont="1" applyFill="1" applyBorder="1" applyAlignment="1" applyProtection="1">
      <alignment horizontal="center" vertical="center" wrapText="1"/>
      <protection locked="0"/>
    </xf>
    <xf numFmtId="0" fontId="42" fillId="0" borderId="3" xfId="0" applyFont="1" applyBorder="1" applyAlignment="1" applyProtection="1">
      <alignment horizontal="center" vertical="center" wrapText="1"/>
      <protection locked="0"/>
    </xf>
    <xf numFmtId="0" fontId="42" fillId="0" borderId="4" xfId="0" applyFont="1" applyBorder="1" applyAlignment="1" applyProtection="1">
      <alignment horizontal="center" vertical="center" wrapText="1"/>
      <protection locked="0"/>
    </xf>
    <xf numFmtId="0" fontId="42" fillId="0" borderId="2" xfId="0" applyFont="1" applyFill="1" applyBorder="1" applyAlignment="1" applyProtection="1">
      <alignment horizontal="center" vertical="center" wrapText="1"/>
      <protection locked="0"/>
    </xf>
    <xf numFmtId="0" fontId="18" fillId="2" borderId="78" xfId="2" applyFont="1" applyFill="1" applyBorder="1" applyAlignment="1" applyProtection="1">
      <alignment horizontal="center" vertical="center"/>
    </xf>
    <xf numFmtId="0" fontId="18" fillId="2" borderId="78"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39" fillId="0" borderId="80"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39" fillId="0" borderId="81"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39" fillId="0" borderId="82"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39"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39" fillId="0" borderId="6" xfId="0" applyFont="1" applyFill="1" applyBorder="1" applyAlignment="1" applyProtection="1">
      <alignment vertical="center" wrapText="1"/>
      <protection hidden="1"/>
    </xf>
    <xf numFmtId="0" fontId="39" fillId="0" borderId="3" xfId="0" applyFont="1" applyFill="1" applyBorder="1" applyAlignment="1" applyProtection="1">
      <alignment vertical="center" wrapText="1"/>
      <protection hidden="1"/>
    </xf>
    <xf numFmtId="0" fontId="39" fillId="0" borderId="7" xfId="0" applyFont="1" applyFill="1" applyBorder="1" applyAlignment="1" applyProtection="1">
      <alignment vertical="center" wrapText="1"/>
      <protection hidden="1"/>
    </xf>
    <xf numFmtId="0" fontId="47" fillId="0" borderId="19" xfId="0" applyFont="1" applyBorder="1" applyAlignment="1" applyProtection="1">
      <alignment horizontal="center" vertical="center"/>
      <protection hidden="1"/>
    </xf>
    <xf numFmtId="9" fontId="0" fillId="0" borderId="86" xfId="0" applyNumberFormat="1" applyBorder="1" applyAlignment="1" applyProtection="1">
      <alignment horizontal="center" vertical="center"/>
      <protection hidden="1"/>
    </xf>
    <xf numFmtId="9" fontId="0" fillId="0" borderId="87" xfId="0" applyNumberFormat="1" applyBorder="1" applyAlignment="1" applyProtection="1">
      <alignment horizontal="center" vertical="center"/>
      <protection hidden="1"/>
    </xf>
    <xf numFmtId="9" fontId="0" fillId="0" borderId="88" xfId="0" applyNumberFormat="1" applyBorder="1" applyAlignment="1" applyProtection="1">
      <alignment horizontal="center" vertical="center"/>
      <protection hidden="1"/>
    </xf>
    <xf numFmtId="9" fontId="0" fillId="0" borderId="89"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49" fontId="17" fillId="5" borderId="7" xfId="0" applyNumberFormat="1"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vertical="center" wrapText="1"/>
      <protection hidden="1"/>
    </xf>
    <xf numFmtId="0" fontId="17" fillId="5" borderId="77"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3" fillId="9" borderId="14" xfId="0" applyNumberFormat="1" applyFont="1" applyFill="1" applyBorder="1" applyAlignment="1">
      <alignment horizontal="center" vertical="center" wrapText="1"/>
    </xf>
    <xf numFmtId="49" fontId="43" fillId="9" borderId="11" xfId="0" applyNumberFormat="1" applyFont="1" applyFill="1" applyBorder="1" applyAlignment="1">
      <alignment horizontal="center" vertical="center" wrapText="1"/>
    </xf>
    <xf numFmtId="0" fontId="35" fillId="0" borderId="75" xfId="0" applyFont="1" applyBorder="1" applyAlignment="1" applyProtection="1">
      <alignment horizontal="justify" vertical="center" wrapText="1"/>
      <protection locked="0"/>
    </xf>
    <xf numFmtId="0" fontId="35" fillId="0" borderId="9" xfId="0" applyFont="1" applyBorder="1" applyAlignment="1" applyProtection="1">
      <alignment horizontal="justify" vertical="center" wrapText="1"/>
      <protection locked="0"/>
    </xf>
    <xf numFmtId="0" fontId="7" fillId="4" borderId="0" xfId="0" applyFont="1" applyFill="1" applyAlignment="1">
      <alignment horizontal="justify" vertical="center"/>
    </xf>
    <xf numFmtId="0" fontId="45" fillId="0" borderId="2" xfId="0" applyFont="1" applyBorder="1" applyAlignment="1">
      <alignment horizontal="justify" vertical="center" wrapText="1"/>
    </xf>
    <xf numFmtId="0" fontId="46" fillId="0" borderId="3" xfId="0" applyFont="1" applyFill="1" applyBorder="1" applyAlignment="1">
      <alignment horizontal="justify" vertical="center" wrapText="1"/>
    </xf>
    <xf numFmtId="0" fontId="45" fillId="0" borderId="3" xfId="0" applyFont="1" applyBorder="1" applyAlignment="1">
      <alignment horizontal="justify" vertical="center" wrapText="1"/>
    </xf>
    <xf numFmtId="0" fontId="45" fillId="0" borderId="4" xfId="0" applyFont="1" applyBorder="1" applyAlignment="1">
      <alignment horizontal="justify" vertical="center" wrapText="1"/>
    </xf>
    <xf numFmtId="0" fontId="45" fillId="0" borderId="2" xfId="0" applyFont="1" applyFill="1" applyBorder="1" applyAlignment="1">
      <alignment horizontal="justify" vertical="center" wrapText="1"/>
    </xf>
    <xf numFmtId="0" fontId="7" fillId="0" borderId="0" xfId="0" applyFont="1" applyAlignment="1">
      <alignment horizontal="justify" vertical="center"/>
    </xf>
    <xf numFmtId="0" fontId="7" fillId="4" borderId="0" xfId="0" applyFont="1" applyFill="1" applyAlignment="1">
      <alignment horizontal="justify"/>
    </xf>
    <xf numFmtId="0" fontId="35" fillId="0" borderId="76" xfId="0" applyFont="1" applyBorder="1" applyAlignment="1" applyProtection="1">
      <alignment horizontal="justify" vertical="center" wrapText="1"/>
      <protection locked="0"/>
    </xf>
    <xf numFmtId="0" fontId="35" fillId="0" borderId="75" xfId="0" applyFont="1" applyFill="1" applyBorder="1" applyAlignment="1" applyProtection="1">
      <alignment horizontal="justify" vertical="center" wrapText="1"/>
      <protection locked="0"/>
    </xf>
    <xf numFmtId="0" fontId="7" fillId="0" borderId="0" xfId="0" applyFont="1" applyAlignment="1">
      <alignment horizontal="justify"/>
    </xf>
    <xf numFmtId="0" fontId="43" fillId="9" borderId="11" xfId="0" applyFont="1" applyFill="1" applyBorder="1" applyAlignment="1">
      <alignment horizontal="center" vertical="center" wrapText="1"/>
    </xf>
    <xf numFmtId="0" fontId="7" fillId="0" borderId="9" xfId="0" applyFont="1" applyFill="1" applyBorder="1" applyAlignment="1" applyProtection="1">
      <alignment horizontal="justify" vertical="center" wrapText="1"/>
      <protection locked="0"/>
    </xf>
    <xf numFmtId="0" fontId="7" fillId="0" borderId="9" xfId="0" applyFont="1" applyBorder="1" applyAlignment="1" applyProtection="1">
      <alignment horizontal="justify" vertical="center" wrapText="1"/>
      <protection locked="0"/>
    </xf>
    <xf numFmtId="0" fontId="7" fillId="0" borderId="76" xfId="0" applyFont="1" applyBorder="1" applyAlignment="1" applyProtection="1">
      <alignment horizontal="justify" vertical="center" wrapText="1"/>
      <protection locked="0"/>
    </xf>
    <xf numFmtId="0" fontId="7" fillId="0" borderId="75" xfId="0" applyFont="1" applyBorder="1" applyAlignment="1" applyProtection="1">
      <alignment horizontal="justify" vertical="center" wrapText="1"/>
      <protection locked="0"/>
    </xf>
    <xf numFmtId="0" fontId="49" fillId="0" borderId="3" xfId="0" applyFont="1" applyBorder="1" applyAlignment="1" applyProtection="1">
      <alignment horizontal="center" vertical="center" wrapText="1"/>
      <protection locked="0"/>
    </xf>
    <xf numFmtId="0" fontId="35" fillId="0" borderId="9" xfId="0" applyFont="1" applyBorder="1" applyAlignment="1" applyProtection="1">
      <alignment horizontal="left" vertical="center" wrapText="1"/>
      <protection locked="0"/>
    </xf>
    <xf numFmtId="9" fontId="53" fillId="2" borderId="23" xfId="0" applyNumberFormat="1" applyFont="1" applyFill="1" applyBorder="1" applyAlignment="1" applyProtection="1">
      <alignment horizontal="center" vertical="center"/>
      <protection hidden="1"/>
    </xf>
    <xf numFmtId="0" fontId="54" fillId="2" borderId="3" xfId="0" applyFont="1" applyFill="1" applyBorder="1" applyAlignment="1">
      <alignment horizontal="center" vertical="center"/>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0" fontId="56" fillId="0" borderId="0" xfId="0" applyFont="1" applyBorder="1" applyAlignment="1">
      <alignment horizontal="center"/>
    </xf>
    <xf numFmtId="0" fontId="57" fillId="0" borderId="0" xfId="0" applyFont="1" applyBorder="1"/>
    <xf numFmtId="9" fontId="52" fillId="0" borderId="0" xfId="0" applyNumberFormat="1" applyFont="1" applyFill="1" applyBorder="1" applyAlignment="1">
      <alignment vertical="center"/>
    </xf>
    <xf numFmtId="0" fontId="0" fillId="4" borderId="90" xfId="0" applyFill="1" applyBorder="1"/>
    <xf numFmtId="0" fontId="0" fillId="4" borderId="91" xfId="0" applyFill="1" applyBorder="1"/>
    <xf numFmtId="0" fontId="0" fillId="4" borderId="92" xfId="0" applyFill="1" applyBorder="1"/>
    <xf numFmtId="0" fontId="0" fillId="4" borderId="55" xfId="0" applyFill="1" applyBorder="1"/>
    <xf numFmtId="0" fontId="0" fillId="4" borderId="56" xfId="0" applyFill="1" applyBorder="1"/>
    <xf numFmtId="0" fontId="0" fillId="4" borderId="68" xfId="0" applyFill="1" applyBorder="1"/>
    <xf numFmtId="0" fontId="2" fillId="4" borderId="69" xfId="0" applyFont="1" applyFill="1" applyBorder="1" applyAlignment="1">
      <alignment horizontal="center" vertical="center"/>
    </xf>
    <xf numFmtId="0" fontId="0" fillId="4" borderId="70" xfId="0" applyFill="1" applyBorder="1"/>
    <xf numFmtId="0" fontId="57" fillId="0" borderId="12" xfId="0" applyFont="1" applyBorder="1"/>
    <xf numFmtId="0" fontId="61" fillId="0" borderId="23" xfId="0" applyFont="1" applyFill="1" applyBorder="1" applyAlignment="1" applyProtection="1">
      <alignment horizontal="center" vertical="center"/>
      <protection hidden="1"/>
    </xf>
    <xf numFmtId="9" fontId="62" fillId="14" borderId="23" xfId="0" applyNumberFormat="1" applyFont="1" applyFill="1" applyBorder="1" applyAlignment="1" applyProtection="1">
      <alignment horizontal="center" vertical="center"/>
      <protection hidden="1"/>
    </xf>
    <xf numFmtId="0" fontId="55" fillId="0" borderId="0" xfId="0" applyFont="1" applyBorder="1"/>
    <xf numFmtId="0" fontId="55" fillId="0" borderId="0" xfId="0" applyFont="1" applyBorder="1" applyAlignment="1">
      <alignment horizontal="center" wrapText="1"/>
    </xf>
    <xf numFmtId="0" fontId="55" fillId="0" borderId="0" xfId="0" applyFont="1" applyBorder="1" applyAlignment="1">
      <alignment horizontal="center"/>
    </xf>
    <xf numFmtId="0" fontId="55" fillId="0" borderId="12" xfId="0" applyFont="1" applyBorder="1"/>
    <xf numFmtId="0" fontId="60" fillId="9" borderId="23" xfId="0" applyFont="1" applyFill="1" applyBorder="1" applyAlignment="1">
      <alignment horizontal="center" vertical="center" wrapText="1"/>
    </xf>
    <xf numFmtId="0" fontId="61" fillId="0" borderId="23" xfId="0" applyFont="1" applyFill="1" applyBorder="1" applyAlignment="1">
      <alignment horizontal="center" vertical="center"/>
    </xf>
    <xf numFmtId="0" fontId="63" fillId="0" borderId="0" xfId="0" applyFont="1" applyFill="1" applyBorder="1" applyAlignment="1">
      <alignment vertical="center"/>
    </xf>
    <xf numFmtId="0" fontId="64" fillId="0" borderId="0" xfId="0" applyFont="1" applyFill="1" applyBorder="1" applyAlignment="1">
      <alignment horizontal="center" vertical="center" wrapText="1"/>
    </xf>
    <xf numFmtId="0" fontId="20" fillId="0" borderId="0" xfId="0" applyFont="1" applyBorder="1"/>
    <xf numFmtId="0" fontId="20" fillId="0" borderId="0" xfId="0" applyFont="1" applyFill="1" applyBorder="1"/>
    <xf numFmtId="0" fontId="65" fillId="12" borderId="23" xfId="0" applyFont="1" applyFill="1" applyBorder="1" applyAlignment="1">
      <alignment horizontal="center" vertical="center" wrapText="1"/>
    </xf>
    <xf numFmtId="0" fontId="66" fillId="12" borderId="23" xfId="0" applyFont="1" applyFill="1" applyBorder="1" applyAlignment="1">
      <alignment horizontal="center" vertical="center" wrapText="1"/>
    </xf>
    <xf numFmtId="0" fontId="62" fillId="13" borderId="23" xfId="0" applyFont="1" applyFill="1" applyBorder="1" applyAlignment="1">
      <alignment horizontal="center" vertical="center" wrapText="1"/>
    </xf>
    <xf numFmtId="0" fontId="62" fillId="15" borderId="23" xfId="0" applyFont="1" applyFill="1" applyBorder="1" applyAlignment="1">
      <alignment horizontal="center" vertical="center" wrapText="1"/>
    </xf>
    <xf numFmtId="0" fontId="62" fillId="2" borderId="23" xfId="0" applyFont="1" applyFill="1" applyBorder="1" applyAlignment="1">
      <alignment horizontal="center" vertical="center" wrapText="1"/>
    </xf>
    <xf numFmtId="0" fontId="69" fillId="11" borderId="23" xfId="0" applyFont="1" applyFill="1" applyBorder="1" applyAlignment="1">
      <alignment horizontal="center" vertical="center" wrapText="1"/>
    </xf>
    <xf numFmtId="0" fontId="29" fillId="0" borderId="54" xfId="3" applyFont="1" applyBorder="1" applyAlignment="1" applyProtection="1">
      <alignment horizontal="center" vertical="center" wrapText="1"/>
    </xf>
    <xf numFmtId="0" fontId="29" fillId="0" borderId="51" xfId="3" applyFont="1" applyBorder="1" applyAlignment="1" applyProtection="1">
      <alignment horizontal="center" vertical="center" wrapText="1"/>
    </xf>
    <xf numFmtId="0" fontId="29" fillId="0" borderId="8" xfId="3" applyFont="1" applyBorder="1" applyAlignment="1" applyProtection="1">
      <alignment horizontal="center" vertical="center" wrapText="1"/>
    </xf>
    <xf numFmtId="0" fontId="25" fillId="0" borderId="55" xfId="3" quotePrefix="1" applyFont="1" applyBorder="1" applyAlignment="1" applyProtection="1">
      <alignment horizontal="left" vertical="center" wrapText="1"/>
    </xf>
    <xf numFmtId="0" fontId="25" fillId="0" borderId="0" xfId="3" quotePrefix="1" applyFont="1" applyBorder="1" applyAlignment="1" applyProtection="1">
      <alignment horizontal="left" vertical="center" wrapText="1"/>
    </xf>
    <xf numFmtId="0" fontId="25" fillId="0" borderId="56" xfId="3" quotePrefix="1" applyFont="1" applyBorder="1" applyAlignment="1" applyProtection="1">
      <alignment horizontal="left" vertical="center" wrapText="1"/>
    </xf>
    <xf numFmtId="0" fontId="30" fillId="4" borderId="55" xfId="3" quotePrefix="1" applyFont="1" applyFill="1" applyBorder="1" applyAlignment="1" applyProtection="1">
      <alignment horizontal="left" vertical="top" wrapText="1"/>
    </xf>
    <xf numFmtId="0" fontId="24" fillId="4" borderId="0" xfId="3" quotePrefix="1" applyFont="1" applyFill="1" applyBorder="1" applyAlignment="1" applyProtection="1">
      <alignment horizontal="left" vertical="top" wrapText="1"/>
    </xf>
    <xf numFmtId="0" fontId="24" fillId="4" borderId="56" xfId="3" quotePrefix="1" applyFont="1" applyFill="1" applyBorder="1" applyAlignment="1" applyProtection="1">
      <alignment horizontal="left" vertical="top" wrapText="1"/>
    </xf>
    <xf numFmtId="0" fontId="25" fillId="4" borderId="55"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56" xfId="3" quotePrefix="1" applyFont="1" applyFill="1" applyBorder="1" applyAlignment="1" applyProtection="1">
      <alignment horizontal="left" vertical="top" wrapText="1"/>
    </xf>
    <xf numFmtId="0" fontId="33" fillId="16" borderId="57" xfId="4" applyFont="1" applyFill="1" applyBorder="1" applyAlignment="1" applyProtection="1">
      <alignment horizontal="center" vertical="center" wrapText="1"/>
    </xf>
    <xf numFmtId="0" fontId="33" fillId="16" borderId="58" xfId="4" applyFont="1" applyFill="1" applyBorder="1" applyAlignment="1" applyProtection="1">
      <alignment horizontal="center" vertical="center" wrapText="1"/>
    </xf>
    <xf numFmtId="0" fontId="33" fillId="16" borderId="59" xfId="3" applyFont="1" applyFill="1" applyBorder="1" applyAlignment="1" applyProtection="1">
      <alignment horizontal="center" vertical="center"/>
    </xf>
    <xf numFmtId="0" fontId="33" fillId="16" borderId="60" xfId="3" applyFont="1" applyFill="1" applyBorder="1" applyAlignment="1" applyProtection="1">
      <alignment horizontal="center" vertical="center"/>
    </xf>
    <xf numFmtId="0" fontId="33" fillId="4" borderId="71" xfId="4" applyFont="1" applyFill="1" applyBorder="1" applyAlignment="1" applyProtection="1">
      <alignment horizontal="left" vertical="center" wrapText="1" readingOrder="1"/>
    </xf>
    <xf numFmtId="0" fontId="33" fillId="4" borderId="72" xfId="4" applyFont="1" applyFill="1" applyBorder="1" applyAlignment="1" applyProtection="1">
      <alignment horizontal="left" vertical="center" wrapText="1" readingOrder="1"/>
    </xf>
    <xf numFmtId="0" fontId="34" fillId="0" borderId="61" xfId="3" applyFont="1" applyFill="1" applyBorder="1" applyAlignment="1" applyProtection="1">
      <alignment horizontal="left" vertical="center" wrapText="1"/>
    </xf>
    <xf numFmtId="0" fontId="34" fillId="0" borderId="62" xfId="3" applyFont="1" applyFill="1" applyBorder="1" applyAlignment="1" applyProtection="1">
      <alignment horizontal="left" vertical="center" wrapText="1"/>
    </xf>
    <xf numFmtId="0" fontId="33" fillId="4" borderId="63" xfId="0" applyFont="1" applyFill="1" applyBorder="1" applyAlignment="1" applyProtection="1">
      <alignment horizontal="left" vertical="center" wrapText="1"/>
    </xf>
    <xf numFmtId="0" fontId="33" fillId="4" borderId="64" xfId="0" applyFont="1" applyFill="1" applyBorder="1" applyAlignment="1" applyProtection="1">
      <alignment horizontal="left" vertical="center" wrapText="1"/>
    </xf>
    <xf numFmtId="0" fontId="34" fillId="0" borderId="65" xfId="3" applyFont="1" applyFill="1" applyBorder="1" applyAlignment="1" applyProtection="1">
      <alignment horizontal="left" vertical="center" wrapText="1"/>
    </xf>
    <xf numFmtId="0" fontId="34" fillId="0" borderId="66" xfId="3" applyFont="1" applyFill="1" applyBorder="1" applyAlignment="1" applyProtection="1">
      <alignment horizontal="left" vertical="center" wrapText="1"/>
    </xf>
    <xf numFmtId="0" fontId="34" fillId="0" borderId="65" xfId="3" applyFont="1" applyFill="1" applyBorder="1" applyAlignment="1" applyProtection="1">
      <alignment horizontal="left" vertical="top" wrapText="1"/>
    </xf>
    <xf numFmtId="0" fontId="34" fillId="0" borderId="66" xfId="3" applyFont="1" applyFill="1" applyBorder="1" applyAlignment="1" applyProtection="1">
      <alignment horizontal="left" vertical="top" wrapText="1"/>
    </xf>
    <xf numFmtId="0" fontId="25" fillId="4" borderId="55" xfId="3" applyFont="1" applyFill="1" applyBorder="1" applyAlignment="1" applyProtection="1">
      <alignment horizontal="left" vertical="top" wrapText="1"/>
    </xf>
    <xf numFmtId="0" fontId="25" fillId="4" borderId="0" xfId="3" applyFont="1" applyFill="1" applyBorder="1" applyAlignment="1" applyProtection="1">
      <alignment horizontal="left" vertical="top" wrapText="1"/>
    </xf>
    <xf numFmtId="0" fontId="25" fillId="4" borderId="56" xfId="3" applyFont="1" applyFill="1" applyBorder="1" applyAlignment="1" applyProtection="1">
      <alignment horizontal="left" vertical="top" wrapText="1"/>
    </xf>
    <xf numFmtId="0" fontId="25" fillId="4" borderId="0" xfId="3" applyFont="1" applyFill="1" applyBorder="1" applyAlignment="1" applyProtection="1"/>
    <xf numFmtId="0" fontId="33" fillId="4" borderId="73" xfId="0" applyFont="1" applyFill="1" applyBorder="1" applyAlignment="1" applyProtection="1">
      <alignment horizontal="left" vertical="center" wrapText="1"/>
    </xf>
    <xf numFmtId="0" fontId="33" fillId="4" borderId="74" xfId="0" applyFont="1" applyFill="1" applyBorder="1" applyAlignment="1" applyProtection="1">
      <alignment horizontal="left" vertical="center" wrapText="1"/>
    </xf>
    <xf numFmtId="0" fontId="16" fillId="2" borderId="40" xfId="2" applyNumberFormat="1" applyFont="1" applyFill="1" applyBorder="1" applyAlignment="1" applyProtection="1">
      <alignment horizontal="center" vertical="center" wrapText="1"/>
    </xf>
    <xf numFmtId="0" fontId="16" fillId="2" borderId="41" xfId="2" applyNumberFormat="1" applyFont="1" applyFill="1" applyBorder="1" applyAlignment="1" applyProtection="1">
      <alignment horizontal="center" vertical="center" wrapText="1"/>
    </xf>
    <xf numFmtId="0" fontId="24" fillId="7" borderId="46" xfId="2" applyNumberFormat="1" applyFont="1" applyFill="1" applyBorder="1" applyAlignment="1" applyProtection="1">
      <alignment horizontal="center" vertical="center"/>
    </xf>
    <xf numFmtId="0" fontId="24" fillId="7" borderId="47" xfId="2" applyNumberFormat="1" applyFont="1" applyFill="1" applyBorder="1" applyAlignment="1" applyProtection="1">
      <alignment horizontal="center" vertical="center"/>
    </xf>
    <xf numFmtId="0" fontId="25" fillId="0" borderId="52" xfId="2" applyFont="1" applyFill="1" applyBorder="1" applyAlignment="1" applyProtection="1">
      <alignment horizontal="justify" vertical="center" wrapText="1"/>
    </xf>
    <xf numFmtId="0" fontId="25" fillId="0" borderId="53" xfId="2" applyFont="1" applyFill="1" applyBorder="1" applyAlignment="1" applyProtection="1">
      <alignment horizontal="justify" vertical="center" wrapText="1"/>
    </xf>
    <xf numFmtId="0" fontId="24" fillId="8" borderId="48" xfId="2" applyNumberFormat="1" applyFont="1" applyFill="1" applyBorder="1" applyAlignment="1" applyProtection="1">
      <alignment horizontal="center" vertical="center" wrapText="1"/>
    </xf>
    <xf numFmtId="0" fontId="24" fillId="8" borderId="49" xfId="2" applyNumberFormat="1" applyFont="1" applyFill="1" applyBorder="1" applyAlignment="1" applyProtection="1">
      <alignment horizontal="center" vertical="center"/>
    </xf>
    <xf numFmtId="0" fontId="25" fillId="0" borderId="49" xfId="2" applyFont="1" applyFill="1" applyBorder="1" applyAlignment="1" applyProtection="1">
      <alignment horizontal="justify" vertical="center" wrapText="1"/>
    </xf>
    <xf numFmtId="0" fontId="25" fillId="0" borderId="50" xfId="2" applyFont="1" applyFill="1" applyBorder="1" applyAlignment="1" applyProtection="1">
      <alignment horizontal="justify" vertical="center" wrapText="1"/>
    </xf>
    <xf numFmtId="0" fontId="36" fillId="4" borderId="67" xfId="2" applyNumberFormat="1" applyFont="1" applyFill="1" applyBorder="1" applyAlignment="1" applyProtection="1">
      <alignment horizontal="center" vertical="center" wrapText="1"/>
    </xf>
    <xf numFmtId="0" fontId="23" fillId="4" borderId="67" xfId="2" applyFont="1" applyFill="1" applyBorder="1" applyAlignment="1" applyProtection="1">
      <alignment horizontal="center" vertical="center" wrapText="1"/>
    </xf>
    <xf numFmtId="0" fontId="16" fillId="2" borderId="42" xfId="2" applyNumberFormat="1" applyFont="1" applyFill="1" applyBorder="1" applyAlignment="1" applyProtection="1">
      <alignment horizontal="center" vertical="center" wrapText="1"/>
    </xf>
    <xf numFmtId="0" fontId="24" fillId="14" borderId="43" xfId="2" applyNumberFormat="1" applyFont="1" applyFill="1" applyBorder="1" applyAlignment="1" applyProtection="1">
      <alignment horizontal="center" vertical="center"/>
    </xf>
    <xf numFmtId="0" fontId="24" fillId="14" borderId="44" xfId="2" applyNumberFormat="1" applyFont="1" applyFill="1" applyBorder="1" applyAlignment="1" applyProtection="1">
      <alignment horizontal="center" vertical="center"/>
    </xf>
    <xf numFmtId="0" fontId="25" fillId="0" borderId="44" xfId="2" applyFont="1" applyFill="1" applyBorder="1" applyAlignment="1" applyProtection="1">
      <alignment horizontal="justify" vertical="center" wrapText="1"/>
    </xf>
    <xf numFmtId="0" fontId="25" fillId="0" borderId="45" xfId="2" applyFont="1" applyFill="1" applyBorder="1" applyAlignment="1" applyProtection="1">
      <alignment horizontal="justify" vertical="center" wrapText="1"/>
    </xf>
    <xf numFmtId="0" fontId="43" fillId="9" borderId="11" xfId="0" applyFont="1" applyFill="1" applyBorder="1" applyAlignment="1">
      <alignment horizontal="center" vertical="center" wrapText="1"/>
    </xf>
    <xf numFmtId="0" fontId="43" fillId="9" borderId="12" xfId="0" applyFont="1" applyFill="1" applyBorder="1" applyAlignment="1">
      <alignment horizontal="center" vertical="center" wrapText="1"/>
    </xf>
    <xf numFmtId="0" fontId="43" fillId="9" borderId="6" xfId="0" applyFont="1" applyFill="1" applyBorder="1" applyAlignment="1">
      <alignment horizontal="center" vertical="center" wrapText="1"/>
    </xf>
    <xf numFmtId="49" fontId="43" fillId="9" borderId="14" xfId="0" applyNumberFormat="1" applyFont="1" applyFill="1" applyBorder="1" applyAlignment="1">
      <alignment horizontal="center" vertical="center" wrapText="1"/>
    </xf>
    <xf numFmtId="49" fontId="43" fillId="9" borderId="15" xfId="0" applyNumberFormat="1" applyFont="1" applyFill="1" applyBorder="1" applyAlignment="1">
      <alignment horizontal="center" vertical="center" wrapText="1"/>
    </xf>
    <xf numFmtId="49" fontId="43" fillId="9" borderId="16" xfId="0" applyNumberFormat="1" applyFont="1" applyFill="1" applyBorder="1" applyAlignment="1">
      <alignment horizontal="center" vertical="center" wrapText="1"/>
    </xf>
    <xf numFmtId="49" fontId="43" fillId="6" borderId="11" xfId="0" applyNumberFormat="1" applyFont="1" applyFill="1" applyBorder="1" applyAlignment="1">
      <alignment horizontal="center" vertical="center" wrapText="1"/>
    </xf>
    <xf numFmtId="49" fontId="43" fillId="6" borderId="12" xfId="0" applyNumberFormat="1" applyFont="1" applyFill="1" applyBorder="1" applyAlignment="1">
      <alignment horizontal="center" vertical="center" wrapText="1"/>
    </xf>
    <xf numFmtId="49" fontId="43" fillId="6" borderId="13" xfId="0" applyNumberFormat="1" applyFont="1" applyFill="1" applyBorder="1" applyAlignment="1">
      <alignment horizontal="center" vertical="center" wrapText="1"/>
    </xf>
    <xf numFmtId="49" fontId="43" fillId="10" borderId="11" xfId="0" applyNumberFormat="1" applyFont="1" applyFill="1" applyBorder="1" applyAlignment="1">
      <alignment horizontal="center" vertical="center" wrapText="1"/>
    </xf>
    <xf numFmtId="49" fontId="43" fillId="10" borderId="12" xfId="0" applyNumberFormat="1" applyFont="1" applyFill="1" applyBorder="1" applyAlignment="1">
      <alignment horizontal="center" vertical="center" wrapText="1"/>
    </xf>
    <xf numFmtId="49" fontId="43" fillId="10" borderId="13" xfId="0" applyNumberFormat="1" applyFont="1" applyFill="1" applyBorder="1" applyAlignment="1">
      <alignment horizontal="center" vertical="center" wrapText="1"/>
    </xf>
    <xf numFmtId="49" fontId="43" fillId="2" borderId="11" xfId="0" applyNumberFormat="1" applyFont="1" applyFill="1" applyBorder="1" applyAlignment="1">
      <alignment horizontal="center" vertical="center" wrapText="1"/>
    </xf>
    <xf numFmtId="49" fontId="43" fillId="2" borderId="12" xfId="0" applyNumberFormat="1" applyFont="1" applyFill="1" applyBorder="1" applyAlignment="1">
      <alignment horizontal="center" vertical="center" wrapText="1"/>
    </xf>
    <xf numFmtId="49" fontId="43" fillId="2" borderId="13" xfId="0" applyNumberFormat="1" applyFont="1" applyFill="1" applyBorder="1" applyAlignment="1">
      <alignment horizontal="center" vertical="center" wrapText="1"/>
    </xf>
    <xf numFmtId="49" fontId="43" fillId="11" borderId="11" xfId="0" applyNumberFormat="1" applyFont="1" applyFill="1" applyBorder="1" applyAlignment="1">
      <alignment horizontal="center" vertical="center" wrapText="1"/>
    </xf>
    <xf numFmtId="49" fontId="43" fillId="11" borderId="12" xfId="0" applyNumberFormat="1" applyFont="1" applyFill="1" applyBorder="1" applyAlignment="1">
      <alignment horizontal="center" vertical="center" wrapText="1"/>
    </xf>
    <xf numFmtId="49" fontId="43" fillId="11" borderId="13" xfId="0" applyNumberFormat="1" applyFont="1" applyFill="1" applyBorder="1" applyAlignment="1">
      <alignment horizontal="center" vertical="center" wrapText="1"/>
    </xf>
    <xf numFmtId="49" fontId="43" fillId="9" borderId="11" xfId="0" applyNumberFormat="1" applyFont="1" applyFill="1" applyBorder="1" applyAlignment="1">
      <alignment horizontal="center" vertical="center" wrapText="1"/>
    </xf>
    <xf numFmtId="49" fontId="43" fillId="9" borderId="12" xfId="0" applyNumberFormat="1" applyFont="1" applyFill="1" applyBorder="1" applyAlignment="1">
      <alignment horizontal="center" vertical="center" wrapText="1"/>
    </xf>
    <xf numFmtId="49" fontId="43" fillId="9" borderId="13" xfId="0" applyNumberFormat="1" applyFont="1" applyFill="1" applyBorder="1" applyAlignment="1">
      <alignment horizontal="center" vertical="center" wrapText="1"/>
    </xf>
    <xf numFmtId="49" fontId="43" fillId="10" borderId="3" xfId="0" applyNumberFormat="1" applyFont="1" applyFill="1" applyBorder="1" applyAlignment="1">
      <alignment horizontal="center" vertical="center" wrapText="1"/>
    </xf>
    <xf numFmtId="0" fontId="43" fillId="10" borderId="3" xfId="0" applyFont="1" applyFill="1" applyBorder="1" applyAlignment="1">
      <alignment horizontal="center" vertical="center" wrapText="1"/>
    </xf>
    <xf numFmtId="49" fontId="43" fillId="10" borderId="15" xfId="0" applyNumberFormat="1" applyFont="1" applyFill="1" applyBorder="1" applyAlignment="1">
      <alignment horizontal="center" vertical="center" wrapText="1"/>
    </xf>
    <xf numFmtId="0" fontId="43" fillId="10" borderId="12" xfId="0" applyFont="1" applyFill="1" applyBorder="1" applyAlignment="1">
      <alignment horizontal="center" vertical="center" wrapText="1"/>
    </xf>
    <xf numFmtId="49" fontId="43" fillId="2" borderId="14" xfId="0" applyNumberFormat="1" applyFont="1" applyFill="1" applyBorder="1" applyAlignment="1">
      <alignment horizontal="center" vertical="center" wrapText="1"/>
    </xf>
    <xf numFmtId="49" fontId="43" fillId="2" borderId="15" xfId="0" applyNumberFormat="1" applyFont="1" applyFill="1" applyBorder="1" applyAlignment="1">
      <alignment horizontal="center" vertical="center" wrapText="1"/>
    </xf>
    <xf numFmtId="49" fontId="43" fillId="2" borderId="16" xfId="0" applyNumberFormat="1"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12" xfId="0" applyFont="1" applyFill="1" applyBorder="1" applyAlignment="1">
      <alignment horizontal="center" vertical="center" wrapText="1"/>
    </xf>
    <xf numFmtId="0" fontId="43" fillId="2" borderId="13" xfId="0" applyFont="1" applyFill="1" applyBorder="1" applyAlignment="1">
      <alignment horizontal="center" vertical="center" wrapText="1"/>
    </xf>
    <xf numFmtId="49" fontId="44" fillId="5" borderId="0" xfId="0" applyNumberFormat="1" applyFont="1" applyFill="1" applyBorder="1" applyAlignment="1">
      <alignment horizontal="center" vertical="center"/>
    </xf>
    <xf numFmtId="0" fontId="43" fillId="11" borderId="11" xfId="0" applyFont="1" applyFill="1" applyBorder="1" applyAlignment="1">
      <alignment horizontal="center" vertical="center" wrapText="1"/>
    </xf>
    <xf numFmtId="0" fontId="43" fillId="11" borderId="12" xfId="0" applyFont="1" applyFill="1" applyBorder="1" applyAlignment="1">
      <alignment horizontal="center" vertical="center" wrapText="1"/>
    </xf>
    <xf numFmtId="0" fontId="43" fillId="11" borderId="13" xfId="0" applyFont="1" applyFill="1" applyBorder="1" applyAlignment="1">
      <alignment horizontal="center" vertical="center" wrapText="1"/>
    </xf>
    <xf numFmtId="49" fontId="43" fillId="11" borderId="14" xfId="0" applyNumberFormat="1" applyFont="1" applyFill="1" applyBorder="1" applyAlignment="1">
      <alignment horizontal="center" vertical="center" wrapText="1"/>
    </xf>
    <xf numFmtId="49" fontId="43" fillId="11" borderId="15" xfId="0" applyNumberFormat="1" applyFont="1" applyFill="1" applyBorder="1" applyAlignment="1">
      <alignment horizontal="center" vertical="center" wrapText="1"/>
    </xf>
    <xf numFmtId="49" fontId="43" fillId="11" borderId="16" xfId="0" applyNumberFormat="1" applyFont="1" applyFill="1" applyBorder="1" applyAlignment="1">
      <alignment horizontal="center" vertical="center" wrapText="1"/>
    </xf>
    <xf numFmtId="0" fontId="43" fillId="9" borderId="13" xfId="0" applyFont="1" applyFill="1" applyBorder="1" applyAlignment="1">
      <alignment horizontal="center" vertical="center" wrapText="1"/>
    </xf>
    <xf numFmtId="0" fontId="43" fillId="6" borderId="11" xfId="0" applyFont="1" applyFill="1" applyBorder="1" applyAlignment="1">
      <alignment horizontal="center" vertical="center" wrapText="1"/>
    </xf>
    <xf numFmtId="0" fontId="43" fillId="6" borderId="12" xfId="0" applyFont="1" applyFill="1" applyBorder="1" applyAlignment="1">
      <alignment horizontal="center" vertical="center" wrapText="1"/>
    </xf>
    <xf numFmtId="0" fontId="43"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3" fillId="10" borderId="11" xfId="0" applyFont="1" applyFill="1" applyBorder="1" applyAlignment="1">
      <alignment horizontal="center" vertical="center" wrapText="1"/>
    </xf>
    <xf numFmtId="0" fontId="43" fillId="10" borderId="13" xfId="0" applyFont="1" applyFill="1" applyBorder="1" applyAlignment="1">
      <alignment horizontal="center" vertical="center" wrapText="1"/>
    </xf>
    <xf numFmtId="9" fontId="40" fillId="0" borderId="83" xfId="0" applyNumberFormat="1" applyFont="1" applyBorder="1" applyAlignment="1" applyProtection="1">
      <alignment horizontal="center" vertical="center"/>
      <protection hidden="1"/>
    </xf>
    <xf numFmtId="9" fontId="40" fillId="0" borderId="84" xfId="0" applyNumberFormat="1" applyFont="1" applyBorder="1" applyAlignment="1" applyProtection="1">
      <alignment horizontal="center" vertical="center"/>
      <protection hidden="1"/>
    </xf>
    <xf numFmtId="9" fontId="27" fillId="7" borderId="80" xfId="1" applyFont="1" applyFill="1" applyBorder="1" applyAlignment="1" applyProtection="1">
      <alignment horizontal="center" vertical="center"/>
      <protection hidden="1"/>
    </xf>
    <xf numFmtId="9" fontId="27" fillId="7" borderId="81" xfId="1" applyFont="1" applyFill="1" applyBorder="1" applyAlignment="1" applyProtection="1">
      <alignment horizontal="center" vertical="center"/>
      <protection hidden="1"/>
    </xf>
    <xf numFmtId="9" fontId="27" fillId="7" borderId="82" xfId="1" applyFont="1" applyFill="1" applyBorder="1" applyAlignment="1" applyProtection="1">
      <alignment horizontal="center" vertical="center"/>
      <protection hidden="1"/>
    </xf>
    <xf numFmtId="0" fontId="26" fillId="9" borderId="14" xfId="0" applyFont="1" applyFill="1" applyBorder="1" applyAlignment="1">
      <alignment horizontal="center" vertical="center" textRotation="90"/>
    </xf>
    <xf numFmtId="0" fontId="26" fillId="9" borderId="15" xfId="0" applyFont="1" applyFill="1" applyBorder="1" applyAlignment="1">
      <alignment horizontal="center" vertical="center" textRotation="90"/>
    </xf>
    <xf numFmtId="0" fontId="26" fillId="9" borderId="16" xfId="0" applyFont="1" applyFill="1" applyBorder="1" applyAlignment="1">
      <alignment horizontal="center" vertical="center" textRotation="90"/>
    </xf>
    <xf numFmtId="9" fontId="40" fillId="4" borderId="83" xfId="0" applyNumberFormat="1" applyFont="1" applyFill="1" applyBorder="1" applyAlignment="1" applyProtection="1">
      <alignment horizontal="center" vertical="center"/>
      <protection hidden="1"/>
    </xf>
    <xf numFmtId="9" fontId="40" fillId="4" borderId="84" xfId="0" applyNumberFormat="1" applyFont="1" applyFill="1" applyBorder="1" applyAlignment="1" applyProtection="1">
      <alignment horizontal="center" vertical="center"/>
      <protection hidden="1"/>
    </xf>
    <xf numFmtId="9" fontId="40" fillId="4" borderId="85" xfId="0" applyNumberFormat="1" applyFont="1" applyFill="1" applyBorder="1" applyAlignment="1" applyProtection="1">
      <alignment horizontal="center" vertical="center"/>
      <protection hidden="1"/>
    </xf>
    <xf numFmtId="0" fontId="26" fillId="11" borderId="15" xfId="0" applyFont="1" applyFill="1" applyBorder="1" applyAlignment="1">
      <alignment horizontal="center" vertical="center" textRotation="90"/>
    </xf>
    <xf numFmtId="0" fontId="26" fillId="2" borderId="14" xfId="0" applyFont="1" applyFill="1" applyBorder="1" applyAlignment="1">
      <alignment horizontal="center" vertical="center" textRotation="90"/>
    </xf>
    <xf numFmtId="0" fontId="26" fillId="2" borderId="15" xfId="0" applyFont="1" applyFill="1" applyBorder="1" applyAlignment="1">
      <alignment horizontal="center" vertical="center" textRotation="90"/>
    </xf>
    <xf numFmtId="0" fontId="26" fillId="2" borderId="16" xfId="0" applyFont="1" applyFill="1" applyBorder="1" applyAlignment="1">
      <alignment horizontal="center" vertical="center" textRotation="90"/>
    </xf>
    <xf numFmtId="9" fontId="40" fillId="0" borderId="85" xfId="0" applyNumberFormat="1" applyFont="1" applyBorder="1" applyAlignment="1" applyProtection="1">
      <alignment horizontal="center" vertical="center"/>
      <protection hidden="1"/>
    </xf>
    <xf numFmtId="0" fontId="26" fillId="10" borderId="14" xfId="0" applyFont="1" applyFill="1" applyBorder="1" applyAlignment="1">
      <alignment horizontal="center" vertical="center" textRotation="90"/>
    </xf>
    <xf numFmtId="0" fontId="26" fillId="10" borderId="15" xfId="0" applyFont="1" applyFill="1" applyBorder="1" applyAlignment="1">
      <alignment horizontal="center" vertical="center" textRotation="90"/>
    </xf>
    <xf numFmtId="0" fontId="18" fillId="3" borderId="28" xfId="2" applyFont="1" applyFill="1" applyBorder="1" applyAlignment="1" applyProtection="1">
      <alignment horizontal="center" vertical="center" wrapText="1"/>
    </xf>
    <xf numFmtId="0" fontId="18" fillId="3" borderId="29" xfId="2" applyFont="1" applyFill="1" applyBorder="1" applyAlignment="1" applyProtection="1">
      <alignment horizontal="center" vertical="center" wrapText="1"/>
    </xf>
    <xf numFmtId="0" fontId="22" fillId="6" borderId="14" xfId="0" applyFont="1" applyFill="1" applyBorder="1" applyAlignment="1">
      <alignment horizontal="center" vertical="center" textRotation="90" wrapText="1"/>
    </xf>
    <xf numFmtId="0" fontId="22" fillId="6" borderId="15" xfId="0" applyFont="1" applyFill="1" applyBorder="1" applyAlignment="1">
      <alignment horizontal="center" vertical="center" textRotation="90" wrapText="1"/>
    </xf>
    <xf numFmtId="0" fontId="22" fillId="6" borderId="16" xfId="0" applyFont="1" applyFill="1" applyBorder="1" applyAlignment="1">
      <alignment horizontal="center" vertical="center" textRotation="90" wrapText="1"/>
    </xf>
    <xf numFmtId="0" fontId="18" fillId="2" borderId="33" xfId="2" applyFont="1" applyFill="1" applyBorder="1" applyAlignment="1" applyProtection="1">
      <alignment horizontal="center" vertical="center" wrapText="1"/>
    </xf>
    <xf numFmtId="0" fontId="18" fillId="2" borderId="79" xfId="2" applyFont="1" applyFill="1" applyBorder="1" applyAlignment="1" applyProtection="1">
      <alignment horizontal="center" vertical="center" wrapText="1"/>
    </xf>
    <xf numFmtId="0" fontId="18" fillId="2" borderId="34" xfId="2" applyFont="1" applyFill="1" applyBorder="1" applyAlignment="1" applyProtection="1">
      <alignment horizontal="center" vertical="center" wrapText="1"/>
    </xf>
    <xf numFmtId="0" fontId="18" fillId="2" borderId="35" xfId="2" applyFont="1" applyFill="1" applyBorder="1" applyAlignment="1" applyProtection="1">
      <alignment horizontal="center" vertical="center" wrapText="1"/>
    </xf>
    <xf numFmtId="0" fontId="18" fillId="2" borderId="36" xfId="2" applyFont="1" applyFill="1" applyBorder="1" applyAlignment="1" applyProtection="1">
      <alignment horizontal="center" vertical="center" wrapText="1"/>
    </xf>
    <xf numFmtId="0" fontId="18" fillId="2" borderId="38" xfId="2" applyFont="1" applyFill="1" applyBorder="1" applyAlignment="1" applyProtection="1">
      <alignment horizontal="center" vertical="center" wrapText="1"/>
    </xf>
    <xf numFmtId="0" fontId="18" fillId="2" borderId="37" xfId="2" applyFont="1" applyFill="1" applyBorder="1" applyAlignment="1" applyProtection="1">
      <alignment horizontal="center" vertical="center" wrapText="1"/>
    </xf>
    <xf numFmtId="0" fontId="18" fillId="2" borderId="39" xfId="2" applyFont="1" applyFill="1" applyBorder="1" applyAlignment="1" applyProtection="1">
      <alignment horizontal="center" vertical="center" wrapText="1"/>
    </xf>
    <xf numFmtId="0" fontId="6" fillId="2" borderId="2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2" xfId="0" applyFont="1" applyFill="1" applyBorder="1" applyAlignment="1">
      <alignment horizontal="center" vertical="center"/>
    </xf>
    <xf numFmtId="49" fontId="50" fillId="4" borderId="87" xfId="0" applyNumberFormat="1" applyFont="1" applyFill="1" applyBorder="1" applyAlignment="1">
      <alignment horizontal="justify" vertical="center" wrapText="1"/>
    </xf>
    <xf numFmtId="49" fontId="50" fillId="4" borderId="3" xfId="0" applyNumberFormat="1" applyFont="1" applyFill="1" applyBorder="1" applyAlignment="1">
      <alignment horizontal="justify" vertical="center" wrapText="1"/>
    </xf>
    <xf numFmtId="49" fontId="50" fillId="4" borderId="88" xfId="0" applyNumberFormat="1" applyFont="1" applyFill="1" applyBorder="1" applyAlignment="1">
      <alignment horizontal="justify" vertical="center" wrapText="1"/>
    </xf>
    <xf numFmtId="49" fontId="50" fillId="4" borderId="4" xfId="0" applyNumberFormat="1" applyFont="1" applyFill="1" applyBorder="1" applyAlignment="1">
      <alignment horizontal="justify" vertical="center" wrapText="1"/>
    </xf>
    <xf numFmtId="0" fontId="54" fillId="2" borderId="7"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1" fillId="4" borderId="3" xfId="0" applyFont="1" applyFill="1" applyBorder="1" applyAlignment="1" applyProtection="1">
      <alignment horizontal="center" vertical="center"/>
      <protection locked="0"/>
    </xf>
    <xf numFmtId="164" fontId="51" fillId="4" borderId="19" xfId="0" applyNumberFormat="1" applyFont="1" applyFill="1" applyBorder="1" applyAlignment="1" applyProtection="1">
      <alignment horizontal="center" vertical="center"/>
      <protection locked="0"/>
    </xf>
    <xf numFmtId="164" fontId="51" fillId="4" borderId="20" xfId="0" applyNumberFormat="1" applyFont="1" applyFill="1" applyBorder="1" applyAlignment="1" applyProtection="1">
      <alignment horizontal="center" vertical="center"/>
      <protection locked="0"/>
    </xf>
    <xf numFmtId="164" fontId="51" fillId="4" borderId="9" xfId="0" applyNumberFormat="1" applyFont="1" applyFill="1" applyBorder="1" applyAlignment="1" applyProtection="1">
      <alignment horizontal="center" vertical="center"/>
      <protection locked="0"/>
    </xf>
    <xf numFmtId="0" fontId="60" fillId="2" borderId="21" xfId="0" applyFont="1" applyFill="1" applyBorder="1" applyAlignment="1">
      <alignment horizontal="center" vertical="center" wrapText="1"/>
    </xf>
    <xf numFmtId="0" fontId="60" fillId="2" borderId="1" xfId="0" applyFont="1" applyFill="1" applyBorder="1" applyAlignment="1">
      <alignment horizontal="center" vertical="center" wrapText="1"/>
    </xf>
    <xf numFmtId="0" fontId="60" fillId="2" borderId="22" xfId="0" applyFont="1" applyFill="1" applyBorder="1" applyAlignment="1">
      <alignment horizontal="center" vertical="center" wrapText="1"/>
    </xf>
    <xf numFmtId="0" fontId="68" fillId="2" borderId="24" xfId="0" applyFont="1" applyFill="1" applyBorder="1" applyAlignment="1">
      <alignment horizontal="center" vertical="center"/>
    </xf>
    <xf numFmtId="0" fontId="68" fillId="2" borderId="25" xfId="0" applyFont="1" applyFill="1" applyBorder="1" applyAlignment="1">
      <alignment horizontal="center" vertical="center"/>
    </xf>
    <xf numFmtId="0" fontId="68" fillId="2" borderId="26" xfId="0" applyFont="1" applyFill="1" applyBorder="1" applyAlignment="1">
      <alignment horizontal="center" vertical="center"/>
    </xf>
    <xf numFmtId="49" fontId="50" fillId="4" borderId="86" xfId="0" applyNumberFormat="1" applyFont="1" applyFill="1" applyBorder="1" applyAlignment="1">
      <alignment horizontal="justify" vertical="center" wrapText="1"/>
    </xf>
    <xf numFmtId="49" fontId="50" fillId="4" borderId="2" xfId="0" applyNumberFormat="1" applyFont="1" applyFill="1" applyBorder="1" applyAlignment="1">
      <alignment horizontal="justify" vertical="center" wrapText="1"/>
    </xf>
    <xf numFmtId="49" fontId="56" fillId="4" borderId="2" xfId="0" applyNumberFormat="1" applyFont="1" applyFill="1" applyBorder="1" applyAlignment="1" applyProtection="1">
      <alignment horizontal="justify" vertical="center" wrapText="1"/>
      <protection locked="0"/>
    </xf>
    <xf numFmtId="49" fontId="56" fillId="4" borderId="80" xfId="0" applyNumberFormat="1" applyFont="1" applyFill="1" applyBorder="1" applyAlignment="1" applyProtection="1">
      <alignment horizontal="justify" vertical="center" wrapText="1"/>
      <protection locked="0"/>
    </xf>
    <xf numFmtId="49" fontId="56" fillId="4" borderId="3" xfId="0" applyNumberFormat="1" applyFont="1" applyFill="1" applyBorder="1" applyAlignment="1" applyProtection="1">
      <alignment horizontal="justify" vertical="center" wrapText="1"/>
      <protection locked="0"/>
    </xf>
    <xf numFmtId="49" fontId="56" fillId="4" borderId="81" xfId="0" applyNumberFormat="1" applyFont="1" applyFill="1" applyBorder="1" applyAlignment="1" applyProtection="1">
      <alignment horizontal="justify" vertical="center" wrapText="1"/>
      <protection locked="0"/>
    </xf>
    <xf numFmtId="49" fontId="56" fillId="4" borderId="4" xfId="0" applyNumberFormat="1" applyFont="1" applyFill="1" applyBorder="1" applyAlignment="1" applyProtection="1">
      <alignment horizontal="justify" vertical="center" wrapText="1"/>
      <protection locked="0"/>
    </xf>
    <xf numFmtId="49" fontId="56" fillId="4" borderId="82" xfId="0" applyNumberFormat="1" applyFont="1" applyFill="1" applyBorder="1" applyAlignment="1" applyProtection="1">
      <alignment horizontal="justify" vertical="center" wrapText="1"/>
      <protection locked="0"/>
    </xf>
    <xf numFmtId="0" fontId="48" fillId="0" borderId="21" xfId="0" applyFont="1" applyBorder="1" applyAlignment="1" applyProtection="1">
      <alignment horizontal="justify" vertical="center" wrapText="1"/>
      <protection locked="0"/>
    </xf>
    <xf numFmtId="0" fontId="48" fillId="0" borderId="1" xfId="0" applyFont="1" applyBorder="1" applyAlignment="1" applyProtection="1">
      <alignment horizontal="justify" vertical="center"/>
      <protection locked="0"/>
    </xf>
    <xf numFmtId="0" fontId="48" fillId="0" borderId="22" xfId="0" applyFont="1" applyBorder="1" applyAlignment="1" applyProtection="1">
      <alignment horizontal="justify" vertical="center"/>
      <protection locked="0"/>
    </xf>
    <xf numFmtId="0" fontId="60" fillId="12" borderId="21" xfId="0" applyFont="1" applyFill="1" applyBorder="1" applyAlignment="1">
      <alignment horizontal="center" vertical="center" wrapText="1"/>
    </xf>
    <xf numFmtId="0" fontId="60" fillId="12" borderId="1" xfId="0" applyFont="1" applyFill="1" applyBorder="1" applyAlignment="1">
      <alignment horizontal="center" vertical="center" wrapText="1"/>
    </xf>
    <xf numFmtId="0" fontId="60" fillId="12" borderId="22" xfId="0" applyFont="1" applyFill="1" applyBorder="1" applyAlignment="1">
      <alignment horizontal="center" vertical="center" wrapText="1"/>
    </xf>
    <xf numFmtId="0" fontId="48" fillId="0" borderId="21" xfId="0" applyFont="1" applyFill="1" applyBorder="1" applyAlignment="1" applyProtection="1">
      <alignment horizontal="justify" vertical="center" wrapText="1"/>
      <protection locked="0"/>
    </xf>
    <xf numFmtId="0" fontId="48" fillId="0" borderId="1" xfId="0" applyFont="1" applyFill="1" applyBorder="1" applyAlignment="1" applyProtection="1">
      <alignment horizontal="justify" vertical="center"/>
      <protection locked="0"/>
    </xf>
    <xf numFmtId="0" fontId="48" fillId="0" borderId="22" xfId="0" applyFont="1" applyFill="1" applyBorder="1" applyAlignment="1" applyProtection="1">
      <alignment horizontal="justify" vertical="center"/>
      <protection locked="0"/>
    </xf>
    <xf numFmtId="0" fontId="0" fillId="0" borderId="69" xfId="0" applyBorder="1" applyAlignment="1">
      <alignment horizontal="center"/>
    </xf>
    <xf numFmtId="0" fontId="58" fillId="0" borderId="1" xfId="0" applyFont="1" applyBorder="1" applyAlignment="1">
      <alignment horizontal="justify"/>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12</xdr:row>
      <xdr:rowOff>1160</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imac/Downloads/Users/macos/Library/Containers/com.microsoft.Excel/Data/Documents/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zoomScale="150" zoomScaleNormal="140" workbookViewId="0">
      <selection activeCell="B2" sqref="B2:H2"/>
    </sheetView>
  </sheetViews>
  <sheetFormatPr baseColWidth="10" defaultColWidth="0" defaultRowHeight="12.75" zeroHeight="1" x14ac:dyDescent="0.2"/>
  <cols>
    <col min="1" max="1" width="3.85546875" style="39" customWidth="1"/>
    <col min="2" max="2" width="15.28515625" style="39" customWidth="1"/>
    <col min="3" max="3" width="17.28515625" style="39" customWidth="1"/>
    <col min="4" max="4" width="28.42578125" style="39" customWidth="1"/>
    <col min="5" max="5" width="12.85546875" style="39" customWidth="1"/>
    <col min="6" max="6" width="47.140625" style="39" customWidth="1"/>
    <col min="7" max="7" width="21.42578125" style="39" customWidth="1"/>
    <col min="8" max="8" width="6.42578125" style="39" customWidth="1"/>
    <col min="9" max="9" width="2.42578125" style="39" customWidth="1"/>
    <col min="10" max="16384" width="11.42578125" style="39" hidden="1"/>
  </cols>
  <sheetData>
    <row r="1" spans="2:8" ht="13.5" thickBot="1" x14ac:dyDescent="0.25"/>
    <row r="2" spans="2:8" ht="73.5" customHeight="1" x14ac:dyDescent="0.2">
      <c r="B2" s="187" t="s">
        <v>0</v>
      </c>
      <c r="C2" s="188"/>
      <c r="D2" s="188"/>
      <c r="E2" s="188"/>
      <c r="F2" s="188"/>
      <c r="G2" s="188"/>
      <c r="H2" s="189"/>
    </row>
    <row r="3" spans="2:8" ht="65.25" customHeight="1" x14ac:dyDescent="0.2">
      <c r="B3" s="190" t="s">
        <v>1</v>
      </c>
      <c r="C3" s="191"/>
      <c r="D3" s="191"/>
      <c r="E3" s="191"/>
      <c r="F3" s="191"/>
      <c r="G3" s="191"/>
      <c r="H3" s="192"/>
    </row>
    <row r="4" spans="2:8" ht="82.5" customHeight="1" x14ac:dyDescent="0.2">
      <c r="B4" s="190"/>
      <c r="C4" s="191"/>
      <c r="D4" s="191"/>
      <c r="E4" s="191"/>
      <c r="F4" s="191"/>
      <c r="G4" s="191"/>
      <c r="H4" s="192"/>
    </row>
    <row r="5" spans="2:8" ht="21.75" customHeight="1" x14ac:dyDescent="0.2">
      <c r="B5" s="193" t="s">
        <v>2</v>
      </c>
      <c r="C5" s="194"/>
      <c r="D5" s="194"/>
      <c r="E5" s="194"/>
      <c r="F5" s="194"/>
      <c r="G5" s="194"/>
      <c r="H5" s="195"/>
    </row>
    <row r="6" spans="2:8" ht="42" customHeight="1" x14ac:dyDescent="0.2">
      <c r="B6" s="196" t="s">
        <v>3</v>
      </c>
      <c r="C6" s="197"/>
      <c r="D6" s="197"/>
      <c r="E6" s="197"/>
      <c r="F6" s="197"/>
      <c r="G6" s="197"/>
      <c r="H6" s="198"/>
    </row>
    <row r="7" spans="2:8" ht="14.25" customHeight="1" x14ac:dyDescent="0.2">
      <c r="B7" s="196"/>
      <c r="C7" s="197"/>
      <c r="D7" s="197"/>
      <c r="E7" s="197"/>
      <c r="F7" s="197"/>
      <c r="G7" s="197"/>
      <c r="H7" s="198"/>
    </row>
    <row r="8" spans="2:8" ht="12.75" customHeight="1" thickBot="1" x14ac:dyDescent="0.25">
      <c r="B8" s="51"/>
      <c r="C8" s="45"/>
      <c r="D8" s="61"/>
      <c r="E8" s="62"/>
      <c r="F8" s="62"/>
      <c r="G8" s="59"/>
      <c r="H8" s="60"/>
    </row>
    <row r="9" spans="2:8" ht="21" customHeight="1" thickTop="1" x14ac:dyDescent="0.2">
      <c r="B9" s="51"/>
      <c r="C9" s="199" t="s">
        <v>4</v>
      </c>
      <c r="D9" s="200"/>
      <c r="E9" s="201" t="s">
        <v>5</v>
      </c>
      <c r="F9" s="202"/>
      <c r="G9" s="45"/>
      <c r="H9" s="53"/>
    </row>
    <row r="10" spans="2:8" ht="37.5" customHeight="1" x14ac:dyDescent="0.2">
      <c r="B10" s="51"/>
      <c r="C10" s="203" t="s">
        <v>6</v>
      </c>
      <c r="D10" s="204"/>
      <c r="E10" s="205" t="s">
        <v>7</v>
      </c>
      <c r="F10" s="206"/>
      <c r="G10" s="45"/>
      <c r="H10" s="53"/>
    </row>
    <row r="11" spans="2:8" ht="39.75" customHeight="1" x14ac:dyDescent="0.2">
      <c r="B11" s="51"/>
      <c r="C11" s="207" t="s">
        <v>8</v>
      </c>
      <c r="D11" s="208"/>
      <c r="E11" s="209" t="s">
        <v>9</v>
      </c>
      <c r="F11" s="210"/>
      <c r="G11" s="45"/>
      <c r="H11" s="53"/>
    </row>
    <row r="12" spans="2:8" ht="59.25" customHeight="1" x14ac:dyDescent="0.2">
      <c r="B12" s="51"/>
      <c r="C12" s="207" t="s">
        <v>10</v>
      </c>
      <c r="D12" s="208"/>
      <c r="E12" s="211" t="s">
        <v>11</v>
      </c>
      <c r="F12" s="212"/>
      <c r="G12" s="45"/>
      <c r="H12" s="53"/>
    </row>
    <row r="13" spans="2:8" ht="33.75" customHeight="1" x14ac:dyDescent="0.2">
      <c r="B13" s="51"/>
      <c r="C13" s="217" t="s">
        <v>12</v>
      </c>
      <c r="D13" s="218"/>
      <c r="E13" s="209" t="s">
        <v>13</v>
      </c>
      <c r="F13" s="210"/>
      <c r="G13" s="45"/>
      <c r="H13" s="53"/>
    </row>
    <row r="14" spans="2:8" ht="19.5" customHeight="1" x14ac:dyDescent="0.2">
      <c r="B14" s="51"/>
      <c r="C14" s="57"/>
      <c r="D14" s="57"/>
      <c r="E14" s="58"/>
      <c r="F14" s="58"/>
      <c r="G14" s="45"/>
      <c r="H14" s="53"/>
    </row>
    <row r="15" spans="2:8" ht="37.5" customHeight="1" thickBot="1" x14ac:dyDescent="0.25">
      <c r="B15" s="213" t="s">
        <v>14</v>
      </c>
      <c r="C15" s="214"/>
      <c r="D15" s="214"/>
      <c r="E15" s="214"/>
      <c r="F15" s="214"/>
      <c r="G15" s="214"/>
      <c r="H15" s="215"/>
    </row>
    <row r="16" spans="2:8" ht="27.75" customHeight="1" thickBot="1" x14ac:dyDescent="0.25">
      <c r="B16" s="51"/>
      <c r="C16" s="219" t="s">
        <v>15</v>
      </c>
      <c r="D16" s="220"/>
      <c r="E16" s="220" t="s">
        <v>16</v>
      </c>
      <c r="F16" s="231"/>
      <c r="G16" s="45"/>
      <c r="H16" s="53"/>
    </row>
    <row r="17" spans="2:8" ht="27.75" customHeight="1" x14ac:dyDescent="0.2">
      <c r="B17" s="51"/>
      <c r="C17" s="232" t="s">
        <v>17</v>
      </c>
      <c r="D17" s="233"/>
      <c r="E17" s="234" t="s">
        <v>18</v>
      </c>
      <c r="F17" s="235"/>
      <c r="G17" s="80"/>
      <c r="H17" s="53"/>
    </row>
    <row r="18" spans="2:8" ht="41.25" customHeight="1" x14ac:dyDescent="0.2">
      <c r="B18" s="51"/>
      <c r="C18" s="221" t="s">
        <v>19</v>
      </c>
      <c r="D18" s="222"/>
      <c r="E18" s="223" t="s">
        <v>20</v>
      </c>
      <c r="F18" s="224"/>
      <c r="G18" s="81"/>
      <c r="H18" s="53"/>
    </row>
    <row r="19" spans="2:8" ht="37.5" customHeight="1" thickBot="1" x14ac:dyDescent="0.25">
      <c r="B19" s="51"/>
      <c r="C19" s="225" t="s">
        <v>21</v>
      </c>
      <c r="D19" s="226"/>
      <c r="E19" s="227" t="s">
        <v>22</v>
      </c>
      <c r="F19" s="228"/>
      <c r="G19" s="81"/>
      <c r="H19" s="53"/>
    </row>
    <row r="20" spans="2:8" ht="11.25" customHeight="1" x14ac:dyDescent="0.2">
      <c r="B20" s="46"/>
      <c r="C20" s="47"/>
      <c r="D20" s="47"/>
      <c r="E20" s="47"/>
      <c r="F20" s="47"/>
      <c r="G20" s="47"/>
      <c r="H20" s="48"/>
    </row>
    <row r="21" spans="2:8" ht="14.25" customHeight="1" x14ac:dyDescent="0.2">
      <c r="B21" s="49"/>
      <c r="C21" s="229"/>
      <c r="D21" s="229"/>
      <c r="E21" s="230"/>
      <c r="F21" s="230"/>
      <c r="G21" s="230"/>
      <c r="H21" s="50"/>
    </row>
    <row r="22" spans="2:8" ht="36" customHeight="1" x14ac:dyDescent="0.2">
      <c r="B22" s="213" t="s">
        <v>23</v>
      </c>
      <c r="C22" s="214"/>
      <c r="D22" s="214"/>
      <c r="E22" s="214"/>
      <c r="F22" s="214"/>
      <c r="G22" s="214"/>
      <c r="H22" s="215"/>
    </row>
    <row r="23" spans="2:8" ht="13.5" x14ac:dyDescent="0.2">
      <c r="B23" s="51"/>
      <c r="C23" s="52"/>
      <c r="D23" s="52"/>
      <c r="E23" s="216"/>
      <c r="F23" s="216"/>
      <c r="G23" s="45"/>
      <c r="H23" s="53"/>
    </row>
    <row r="24" spans="2:8" ht="13.5" thickBot="1" x14ac:dyDescent="0.25">
      <c r="B24" s="54"/>
      <c r="C24" s="55"/>
      <c r="D24" s="55"/>
      <c r="E24" s="55"/>
      <c r="F24" s="55"/>
      <c r="G24" s="55"/>
      <c r="H24" s="56"/>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9"/>
  <sheetViews>
    <sheetView showGridLines="0" topLeftCell="B1" zoomScale="150" zoomScaleNormal="150" workbookViewId="0">
      <selection activeCell="G58" sqref="G58"/>
    </sheetView>
  </sheetViews>
  <sheetFormatPr baseColWidth="10" defaultColWidth="11.42578125" defaultRowHeight="16.5" x14ac:dyDescent="0.3"/>
  <cols>
    <col min="1" max="1" width="3" style="41" hidden="1" customWidth="1"/>
    <col min="2" max="2" width="9.42578125" style="41" customWidth="1"/>
    <col min="3" max="3" width="25.42578125" style="41" customWidth="1"/>
    <col min="4" max="4" width="41.7109375" style="41" customWidth="1"/>
    <col min="5" max="5" width="10.140625" style="64" customWidth="1"/>
    <col min="6" max="6" width="44.42578125" style="140" customWidth="1"/>
    <col min="7" max="7" width="15.42578125" style="41" customWidth="1"/>
    <col min="8" max="8" width="43" style="144" customWidth="1"/>
    <col min="9" max="9" width="36.42578125" style="41" customWidth="1"/>
    <col min="10" max="12" width="11.42578125" style="69" customWidth="1"/>
    <col min="13" max="24" width="11.42578125" style="41" customWidth="1"/>
    <col min="25" max="16384" width="11.42578125" style="41"/>
  </cols>
  <sheetData>
    <row r="1" spans="1:32" x14ac:dyDescent="0.3">
      <c r="B1" s="40"/>
      <c r="C1" s="40"/>
      <c r="D1" s="40"/>
      <c r="E1" s="63"/>
      <c r="F1" s="134"/>
      <c r="G1" s="40"/>
      <c r="H1" s="141"/>
      <c r="I1" s="40"/>
      <c r="J1" s="65"/>
      <c r="K1" s="65"/>
      <c r="L1" s="66"/>
      <c r="M1" s="40"/>
      <c r="N1" s="40"/>
      <c r="O1" s="40"/>
      <c r="P1" s="40"/>
      <c r="Q1" s="40"/>
      <c r="R1" s="40"/>
      <c r="S1" s="40"/>
      <c r="T1" s="40"/>
      <c r="U1" s="40"/>
      <c r="V1" s="40"/>
      <c r="W1" s="40"/>
      <c r="X1" s="40"/>
    </row>
    <row r="2" spans="1:32" x14ac:dyDescent="0.3">
      <c r="B2" s="40"/>
      <c r="C2" s="40"/>
      <c r="D2" s="40"/>
      <c r="E2" s="63"/>
      <c r="F2" s="134"/>
      <c r="G2" s="40"/>
      <c r="H2" s="141"/>
      <c r="I2" s="40"/>
      <c r="J2" s="65"/>
      <c r="K2" s="65"/>
      <c r="L2" s="66"/>
      <c r="M2" s="40"/>
      <c r="N2" s="40"/>
      <c r="O2" s="40"/>
      <c r="P2" s="40"/>
      <c r="Q2" s="40"/>
      <c r="R2" s="40"/>
      <c r="S2" s="40"/>
      <c r="T2" s="40"/>
      <c r="U2" s="40"/>
      <c r="V2" s="40"/>
      <c r="W2" s="40"/>
      <c r="X2" s="40"/>
    </row>
    <row r="3" spans="1:32" x14ac:dyDescent="0.3">
      <c r="B3" s="40"/>
      <c r="C3" s="40"/>
      <c r="D3" s="40"/>
      <c r="E3" s="63"/>
      <c r="F3" s="134"/>
      <c r="G3" s="40"/>
      <c r="H3" s="141"/>
      <c r="I3" s="40"/>
      <c r="J3" s="65"/>
      <c r="K3" s="65"/>
      <c r="L3" s="66"/>
      <c r="M3" s="40"/>
      <c r="N3" s="40"/>
      <c r="O3" s="40"/>
      <c r="P3" s="40"/>
      <c r="Q3" s="40"/>
      <c r="R3" s="40"/>
      <c r="S3" s="40"/>
      <c r="T3" s="40"/>
      <c r="U3" s="40"/>
      <c r="V3" s="40"/>
      <c r="W3" s="40"/>
      <c r="X3" s="40"/>
    </row>
    <row r="4" spans="1:32" x14ac:dyDescent="0.3">
      <c r="B4" s="40"/>
      <c r="C4" s="40"/>
      <c r="D4" s="40"/>
      <c r="E4" s="63"/>
      <c r="F4" s="134"/>
      <c r="G4" s="40"/>
      <c r="H4" s="141"/>
      <c r="I4" s="40"/>
      <c r="J4" s="65"/>
      <c r="K4" s="65"/>
      <c r="L4" s="66"/>
      <c r="M4" s="40"/>
      <c r="N4" s="40"/>
      <c r="O4" s="40"/>
      <c r="P4" s="40"/>
      <c r="Q4" s="40"/>
      <c r="R4" s="40"/>
      <c r="S4" s="40"/>
      <c r="T4" s="40"/>
      <c r="U4" s="40"/>
      <c r="V4" s="40"/>
      <c r="W4" s="40"/>
      <c r="X4" s="40"/>
    </row>
    <row r="5" spans="1:32" x14ac:dyDescent="0.3">
      <c r="B5" s="40"/>
      <c r="C5" s="40"/>
      <c r="D5" s="40"/>
      <c r="E5" s="63"/>
      <c r="F5" s="134"/>
      <c r="G5" s="40"/>
      <c r="H5" s="141"/>
      <c r="I5" s="40"/>
      <c r="J5" s="65"/>
      <c r="K5" s="65"/>
      <c r="L5" s="66"/>
      <c r="M5" s="40"/>
      <c r="N5" s="40"/>
      <c r="O5" s="40"/>
      <c r="P5" s="40"/>
      <c r="Q5" s="40"/>
      <c r="R5" s="40"/>
      <c r="S5" s="40"/>
      <c r="T5" s="40"/>
      <c r="U5" s="40"/>
      <c r="V5" s="40"/>
      <c r="W5" s="40"/>
      <c r="X5" s="40"/>
    </row>
    <row r="6" spans="1:32" x14ac:dyDescent="0.3">
      <c r="B6" s="40"/>
      <c r="C6" s="40"/>
      <c r="D6" s="40"/>
      <c r="E6" s="63"/>
      <c r="F6" s="134"/>
      <c r="G6" s="40"/>
      <c r="H6" s="141"/>
      <c r="I6" s="40"/>
      <c r="J6" s="65"/>
      <c r="K6" s="65"/>
      <c r="L6" s="66"/>
      <c r="M6" s="40"/>
      <c r="N6" s="40"/>
      <c r="O6" s="40"/>
      <c r="P6" s="40"/>
      <c r="Q6" s="40"/>
      <c r="R6" s="40"/>
      <c r="S6" s="40"/>
      <c r="T6" s="40"/>
      <c r="U6" s="40"/>
      <c r="V6" s="40"/>
      <c r="W6" s="40"/>
      <c r="X6" s="40"/>
    </row>
    <row r="7" spans="1:32" x14ac:dyDescent="0.3">
      <c r="B7" s="40"/>
      <c r="C7" s="40"/>
      <c r="D7" s="40"/>
      <c r="E7" s="63"/>
      <c r="F7" s="134"/>
      <c r="G7" s="40"/>
      <c r="H7" s="141"/>
      <c r="I7" s="40"/>
      <c r="J7" s="65"/>
      <c r="K7" s="65"/>
      <c r="L7" s="66"/>
      <c r="M7" s="40"/>
      <c r="N7" s="40"/>
      <c r="O7" s="40"/>
      <c r="P7" s="40"/>
      <c r="Q7" s="40"/>
      <c r="R7" s="40"/>
      <c r="S7" s="40"/>
      <c r="T7" s="40"/>
      <c r="U7" s="40"/>
      <c r="V7" s="40"/>
      <c r="W7" s="40"/>
      <c r="X7" s="40"/>
    </row>
    <row r="8" spans="1:32" x14ac:dyDescent="0.3">
      <c r="B8" s="40"/>
      <c r="C8" s="40"/>
      <c r="D8" s="40"/>
      <c r="E8" s="63"/>
      <c r="F8" s="134"/>
      <c r="G8" s="40"/>
      <c r="H8" s="141"/>
      <c r="I8" s="40"/>
      <c r="J8" s="65"/>
      <c r="K8" s="65"/>
      <c r="L8" s="66"/>
      <c r="M8" s="40"/>
      <c r="N8" s="40"/>
      <c r="O8" s="40"/>
      <c r="P8" s="40"/>
      <c r="Q8" s="40"/>
      <c r="R8" s="40"/>
      <c r="S8" s="40"/>
      <c r="T8" s="40"/>
      <c r="U8" s="40"/>
      <c r="V8" s="40"/>
      <c r="W8" s="40"/>
      <c r="X8" s="40"/>
    </row>
    <row r="9" spans="1:32" x14ac:dyDescent="0.3">
      <c r="B9" s="40"/>
      <c r="C9" s="40"/>
      <c r="D9" s="40"/>
      <c r="E9" s="63"/>
      <c r="F9" s="134"/>
      <c r="G9" s="40"/>
      <c r="H9" s="141"/>
      <c r="I9" s="40"/>
      <c r="J9" s="65"/>
      <c r="K9" s="65"/>
      <c r="L9" s="66"/>
      <c r="M9" s="40"/>
      <c r="N9" s="40"/>
      <c r="O9" s="40"/>
      <c r="P9" s="40"/>
      <c r="Q9" s="40"/>
      <c r="R9" s="40"/>
      <c r="S9" s="40"/>
      <c r="T9" s="40"/>
      <c r="U9" s="40"/>
      <c r="V9" s="40"/>
      <c r="W9" s="40"/>
      <c r="X9" s="40"/>
    </row>
    <row r="10" spans="1:32" x14ac:dyDescent="0.3">
      <c r="B10" s="40"/>
      <c r="C10" s="40"/>
      <c r="D10" s="40"/>
      <c r="E10" s="63"/>
      <c r="F10" s="134"/>
      <c r="G10" s="40"/>
      <c r="H10" s="141"/>
      <c r="I10" s="40"/>
      <c r="J10" s="65"/>
      <c r="K10" s="65"/>
      <c r="L10" s="66"/>
      <c r="M10" s="40"/>
      <c r="N10" s="40"/>
      <c r="O10" s="40"/>
      <c r="P10" s="40"/>
      <c r="Q10" s="40"/>
      <c r="R10" s="40"/>
      <c r="S10" s="40"/>
      <c r="T10" s="40"/>
      <c r="U10" s="40"/>
      <c r="V10" s="40"/>
      <c r="W10" s="40"/>
      <c r="X10" s="40"/>
    </row>
    <row r="11" spans="1:32" x14ac:dyDescent="0.3">
      <c r="B11" s="40"/>
      <c r="C11" s="40"/>
      <c r="D11" s="40"/>
      <c r="E11" s="63"/>
      <c r="F11" s="134"/>
      <c r="G11" s="40"/>
      <c r="H11" s="141"/>
      <c r="I11" s="40"/>
      <c r="J11" s="65"/>
      <c r="K11" s="65"/>
      <c r="L11" s="66"/>
      <c r="M11" s="40"/>
      <c r="N11" s="40"/>
      <c r="O11" s="40"/>
      <c r="P11" s="40"/>
      <c r="Q11" s="40"/>
      <c r="R11" s="40"/>
      <c r="S11" s="40"/>
      <c r="T11" s="40"/>
      <c r="U11" s="40"/>
      <c r="V11" s="40"/>
      <c r="W11" s="40"/>
      <c r="X11" s="40"/>
    </row>
    <row r="12" spans="1:32" ht="3.95" customHeight="1" x14ac:dyDescent="0.3">
      <c r="B12" s="40"/>
      <c r="C12" s="40"/>
      <c r="D12" s="40"/>
      <c r="E12" s="63"/>
      <c r="F12" s="134"/>
      <c r="G12" s="40"/>
      <c r="H12" s="141"/>
      <c r="I12" s="40"/>
      <c r="J12" s="65"/>
      <c r="K12" s="65"/>
      <c r="L12" s="66"/>
      <c r="M12" s="40"/>
      <c r="N12" s="40"/>
      <c r="O12" s="40"/>
      <c r="P12" s="40"/>
      <c r="Q12" s="40"/>
      <c r="R12" s="40"/>
      <c r="S12" s="40"/>
      <c r="T12" s="40"/>
      <c r="U12" s="40"/>
      <c r="V12" s="40"/>
      <c r="W12" s="40"/>
      <c r="X12" s="40"/>
    </row>
    <row r="13" spans="1:32" x14ac:dyDescent="0.3">
      <c r="B13" s="40"/>
      <c r="C13" s="40"/>
      <c r="D13" s="40"/>
      <c r="E13" s="63"/>
      <c r="F13" s="134"/>
      <c r="G13" s="40"/>
      <c r="H13" s="141"/>
      <c r="I13" s="40"/>
      <c r="J13" s="65"/>
      <c r="K13" s="65"/>
      <c r="L13" s="66"/>
      <c r="M13" s="40"/>
      <c r="N13" s="40"/>
      <c r="O13" s="40"/>
      <c r="P13" s="40"/>
      <c r="Q13" s="40"/>
      <c r="R13" s="40"/>
      <c r="S13" s="40"/>
      <c r="T13" s="40"/>
      <c r="U13" s="40"/>
      <c r="V13" s="40"/>
      <c r="W13" s="40"/>
      <c r="X13" s="40"/>
    </row>
    <row r="14" spans="1:32" s="43" customFormat="1" ht="49.5" customHeight="1" x14ac:dyDescent="0.25">
      <c r="B14" s="267" t="s">
        <v>24</v>
      </c>
      <c r="C14" s="267"/>
      <c r="D14" s="267"/>
      <c r="E14" s="267"/>
      <c r="F14" s="267"/>
      <c r="G14" s="267"/>
      <c r="H14" s="267"/>
      <c r="I14" s="267"/>
      <c r="J14" s="67"/>
      <c r="K14" s="67"/>
      <c r="L14" s="68"/>
      <c r="M14" s="42"/>
      <c r="N14" s="42"/>
      <c r="O14" s="42"/>
      <c r="P14" s="42"/>
      <c r="Q14" s="42"/>
      <c r="R14" s="42"/>
      <c r="S14" s="42"/>
      <c r="T14" s="42"/>
      <c r="U14" s="42"/>
      <c r="V14" s="42"/>
      <c r="W14" s="42"/>
      <c r="X14" s="42"/>
      <c r="Y14" s="42"/>
      <c r="Z14" s="42"/>
      <c r="AA14" s="42"/>
      <c r="AB14" s="42"/>
      <c r="AC14" s="42"/>
      <c r="AD14" s="42"/>
      <c r="AE14" s="42"/>
      <c r="AF14" s="42"/>
    </row>
    <row r="15" spans="1:32" s="43" customFormat="1" ht="123.75" customHeight="1" thickBot="1" x14ac:dyDescent="0.3">
      <c r="B15" s="70" t="s">
        <v>25</v>
      </c>
      <c r="C15" s="70" t="s">
        <v>6</v>
      </c>
      <c r="D15" s="71" t="s">
        <v>8</v>
      </c>
      <c r="E15" s="72" t="s">
        <v>26</v>
      </c>
      <c r="F15" s="72" t="s">
        <v>27</v>
      </c>
      <c r="G15" s="72" t="s">
        <v>28</v>
      </c>
      <c r="H15" s="73" t="s">
        <v>29</v>
      </c>
      <c r="I15" s="72" t="s">
        <v>30</v>
      </c>
      <c r="J15" s="67"/>
      <c r="K15" s="67"/>
      <c r="L15" s="68"/>
      <c r="M15" s="42"/>
      <c r="N15" s="42"/>
      <c r="O15" s="42"/>
      <c r="P15" s="42"/>
      <c r="Q15" s="42"/>
      <c r="R15" s="42"/>
      <c r="S15" s="42"/>
      <c r="T15" s="42"/>
      <c r="U15" s="42"/>
      <c r="V15" s="42"/>
      <c r="W15" s="42"/>
      <c r="X15" s="42"/>
      <c r="Y15" s="42"/>
      <c r="Z15" s="42"/>
      <c r="AA15" s="42"/>
      <c r="AB15" s="42"/>
      <c r="AC15" s="42"/>
      <c r="AD15" s="42"/>
      <c r="AE15" s="42"/>
      <c r="AF15" s="42"/>
    </row>
    <row r="16" spans="1:32" s="43" customFormat="1" ht="89.1" customHeight="1" x14ac:dyDescent="0.25">
      <c r="A16" s="82" t="str">
        <f>1&amp;E16</f>
        <v>1a</v>
      </c>
      <c r="B16" s="278" t="s">
        <v>31</v>
      </c>
      <c r="C16" s="242" t="s">
        <v>32</v>
      </c>
      <c r="D16" s="275" t="s">
        <v>33</v>
      </c>
      <c r="E16" s="74" t="s">
        <v>34</v>
      </c>
      <c r="F16" s="135" t="s">
        <v>35</v>
      </c>
      <c r="G16" s="91" t="s">
        <v>38</v>
      </c>
      <c r="H16" s="132" t="s">
        <v>200</v>
      </c>
      <c r="I16" s="83" t="str">
        <f>+IF(G16="Si","Mantenimiento del control",IF(G16="En proceso","Oportunidad de mejora","Deficiencia de control"))</f>
        <v>Mantenimiento del control</v>
      </c>
      <c r="J16" s="84">
        <f t="shared" ref="J16:J27" si="0">+IF(G16="Si",20,IF(G16="En proceso",10,0))</f>
        <v>20</v>
      </c>
      <c r="K16" s="84">
        <v>0.123</v>
      </c>
      <c r="L16" s="84">
        <f>+J16+K16</f>
        <v>20.123000000000001</v>
      </c>
    </row>
    <row r="17" spans="1:32" s="43" customFormat="1" ht="66" x14ac:dyDescent="0.25">
      <c r="A17" s="82" t="str">
        <f t="shared" ref="A17:A27" si="1">1&amp;E17</f>
        <v>1b</v>
      </c>
      <c r="B17" s="279"/>
      <c r="C17" s="243"/>
      <c r="D17" s="276"/>
      <c r="E17" s="75" t="s">
        <v>36</v>
      </c>
      <c r="F17" s="136" t="s">
        <v>37</v>
      </c>
      <c r="G17" s="92" t="s">
        <v>38</v>
      </c>
      <c r="H17" s="146" t="s">
        <v>199</v>
      </c>
      <c r="I17" s="85" t="str">
        <f t="shared" ref="I17:I59" si="2">+IF(G17="Si","Mantenimiento del control",IF(G17="En proceso","Oportunidad de mejora","Deficiencia de control"))</f>
        <v>Mantenimiento del control</v>
      </c>
      <c r="J17" s="86">
        <f t="shared" si="0"/>
        <v>20</v>
      </c>
      <c r="K17" s="84">
        <v>0.1234</v>
      </c>
      <c r="L17" s="84">
        <f t="shared" ref="L17:L59" si="3">+J17+K17</f>
        <v>20.1234</v>
      </c>
    </row>
    <row r="18" spans="1:32" s="43" customFormat="1" ht="64.5" customHeight="1" x14ac:dyDescent="0.25">
      <c r="A18" s="82" t="str">
        <f t="shared" si="1"/>
        <v>1c</v>
      </c>
      <c r="B18" s="279"/>
      <c r="C18" s="243"/>
      <c r="D18" s="276"/>
      <c r="E18" s="75" t="s">
        <v>39</v>
      </c>
      <c r="F18" s="137" t="s">
        <v>40</v>
      </c>
      <c r="G18" s="93" t="s">
        <v>38</v>
      </c>
      <c r="H18" s="147" t="s">
        <v>201</v>
      </c>
      <c r="I18" s="87" t="str">
        <f t="shared" si="2"/>
        <v>Mantenimiento del control</v>
      </c>
      <c r="J18" s="86">
        <f t="shared" si="0"/>
        <v>20</v>
      </c>
      <c r="K18" s="84">
        <v>0.12345</v>
      </c>
      <c r="L18" s="84">
        <f t="shared" si="3"/>
        <v>20.123449999999998</v>
      </c>
    </row>
    <row r="19" spans="1:32" s="43" customFormat="1" ht="42" customHeight="1" x14ac:dyDescent="0.25">
      <c r="A19" s="82" t="str">
        <f t="shared" si="1"/>
        <v>1d</v>
      </c>
      <c r="B19" s="279"/>
      <c r="C19" s="243"/>
      <c r="D19" s="276"/>
      <c r="E19" s="75" t="s">
        <v>41</v>
      </c>
      <c r="F19" s="137" t="s">
        <v>42</v>
      </c>
      <c r="G19" s="93" t="s">
        <v>38</v>
      </c>
      <c r="H19" s="133" t="s">
        <v>208</v>
      </c>
      <c r="I19" s="87" t="str">
        <f t="shared" si="2"/>
        <v>Mantenimiento del control</v>
      </c>
      <c r="J19" s="86">
        <f t="shared" si="0"/>
        <v>20</v>
      </c>
      <c r="K19" s="84">
        <v>0.123456</v>
      </c>
      <c r="L19" s="84">
        <f t="shared" si="3"/>
        <v>20.123456000000001</v>
      </c>
    </row>
    <row r="20" spans="1:32" s="43" customFormat="1" ht="66.95" customHeight="1" x14ac:dyDescent="0.25">
      <c r="A20" s="82" t="str">
        <f t="shared" si="1"/>
        <v>1e</v>
      </c>
      <c r="B20" s="279"/>
      <c r="C20" s="243"/>
      <c r="D20" s="276"/>
      <c r="E20" s="75" t="s">
        <v>43</v>
      </c>
      <c r="F20" s="137" t="s">
        <v>44</v>
      </c>
      <c r="G20" s="93" t="s">
        <v>38</v>
      </c>
      <c r="H20" s="133" t="s">
        <v>207</v>
      </c>
      <c r="I20" s="87" t="str">
        <f t="shared" si="2"/>
        <v>Mantenimiento del control</v>
      </c>
      <c r="J20" s="86">
        <f t="shared" si="0"/>
        <v>20</v>
      </c>
      <c r="K20" s="84">
        <v>0.12345678</v>
      </c>
      <c r="L20" s="84">
        <f t="shared" si="3"/>
        <v>20.123456780000001</v>
      </c>
    </row>
    <row r="21" spans="1:32" s="43" customFormat="1" ht="63.75" customHeight="1" x14ac:dyDescent="0.25">
      <c r="A21" s="82" t="str">
        <f t="shared" si="1"/>
        <v>1f</v>
      </c>
      <c r="B21" s="279"/>
      <c r="C21" s="243"/>
      <c r="D21" s="276"/>
      <c r="E21" s="75" t="s">
        <v>45</v>
      </c>
      <c r="F21" s="137" t="s">
        <v>46</v>
      </c>
      <c r="G21" s="93" t="s">
        <v>38</v>
      </c>
      <c r="H21" s="133" t="s">
        <v>206</v>
      </c>
      <c r="I21" s="87" t="str">
        <f t="shared" si="2"/>
        <v>Mantenimiento del control</v>
      </c>
      <c r="J21" s="86">
        <f t="shared" si="0"/>
        <v>20</v>
      </c>
      <c r="K21" s="84">
        <v>0.123456789</v>
      </c>
      <c r="L21" s="84">
        <f t="shared" si="3"/>
        <v>20.123456788999999</v>
      </c>
    </row>
    <row r="22" spans="1:32" s="43" customFormat="1" ht="165.95" customHeight="1" x14ac:dyDescent="0.25">
      <c r="A22" s="82" t="str">
        <f t="shared" si="1"/>
        <v>1g</v>
      </c>
      <c r="B22" s="279"/>
      <c r="C22" s="243"/>
      <c r="D22" s="276"/>
      <c r="E22" s="75" t="s">
        <v>47</v>
      </c>
      <c r="F22" s="137" t="s">
        <v>48</v>
      </c>
      <c r="G22" s="93" t="s">
        <v>38</v>
      </c>
      <c r="H22" s="147" t="s">
        <v>205</v>
      </c>
      <c r="I22" s="87" t="str">
        <f t="shared" si="2"/>
        <v>Mantenimiento del control</v>
      </c>
      <c r="J22" s="86">
        <f t="shared" si="0"/>
        <v>20</v>
      </c>
      <c r="K22" s="84">
        <v>0.12345678910000001</v>
      </c>
      <c r="L22" s="84">
        <f t="shared" si="3"/>
        <v>20.1234567891</v>
      </c>
    </row>
    <row r="23" spans="1:32" s="43" customFormat="1" ht="62.25" customHeight="1" x14ac:dyDescent="0.25">
      <c r="A23" s="82" t="str">
        <f t="shared" si="1"/>
        <v>1h</v>
      </c>
      <c r="B23" s="279"/>
      <c r="C23" s="243"/>
      <c r="D23" s="276"/>
      <c r="E23" s="75" t="s">
        <v>49</v>
      </c>
      <c r="F23" s="137" t="s">
        <v>50</v>
      </c>
      <c r="G23" s="93" t="s">
        <v>38</v>
      </c>
      <c r="H23" s="147" t="s">
        <v>204</v>
      </c>
      <c r="I23" s="87" t="str">
        <f t="shared" si="2"/>
        <v>Mantenimiento del control</v>
      </c>
      <c r="J23" s="86">
        <f t="shared" si="0"/>
        <v>20</v>
      </c>
      <c r="K23" s="84">
        <v>0.12345678911999999</v>
      </c>
      <c r="L23" s="84">
        <f t="shared" si="3"/>
        <v>20.123456789119999</v>
      </c>
    </row>
    <row r="24" spans="1:32" s="43" customFormat="1" ht="57.75" customHeight="1" x14ac:dyDescent="0.25">
      <c r="A24" s="82" t="str">
        <f t="shared" si="1"/>
        <v>1i</v>
      </c>
      <c r="B24" s="279"/>
      <c r="C24" s="243"/>
      <c r="D24" s="276"/>
      <c r="E24" s="75" t="s">
        <v>51</v>
      </c>
      <c r="F24" s="137" t="s">
        <v>52</v>
      </c>
      <c r="G24" s="93" t="s">
        <v>38</v>
      </c>
      <c r="H24" s="147" t="s">
        <v>203</v>
      </c>
      <c r="I24" s="87" t="str">
        <f t="shared" si="2"/>
        <v>Mantenimiento del control</v>
      </c>
      <c r="J24" s="86">
        <f t="shared" si="0"/>
        <v>20</v>
      </c>
      <c r="K24" s="84">
        <v>0.123456789123</v>
      </c>
      <c r="L24" s="84">
        <f t="shared" si="3"/>
        <v>20.123456789123001</v>
      </c>
    </row>
    <row r="25" spans="1:32" s="43" customFormat="1" ht="63.95" customHeight="1" x14ac:dyDescent="0.25">
      <c r="A25" s="82" t="str">
        <f t="shared" si="1"/>
        <v>1j</v>
      </c>
      <c r="B25" s="279"/>
      <c r="C25" s="243"/>
      <c r="D25" s="276"/>
      <c r="E25" s="75" t="s">
        <v>53</v>
      </c>
      <c r="F25" s="137" t="s">
        <v>54</v>
      </c>
      <c r="G25" s="93" t="s">
        <v>38</v>
      </c>
      <c r="H25" s="133" t="s">
        <v>202</v>
      </c>
      <c r="I25" s="87" t="str">
        <f t="shared" si="2"/>
        <v>Mantenimiento del control</v>
      </c>
      <c r="J25" s="86">
        <f t="shared" si="0"/>
        <v>20</v>
      </c>
      <c r="K25" s="84">
        <v>0.1234567891234</v>
      </c>
      <c r="L25" s="84">
        <f t="shared" si="3"/>
        <v>20.123456789123399</v>
      </c>
    </row>
    <row r="26" spans="1:32" s="43" customFormat="1" ht="50.1" customHeight="1" x14ac:dyDescent="0.25">
      <c r="A26" s="82" t="str">
        <f t="shared" si="1"/>
        <v>1k</v>
      </c>
      <c r="B26" s="279"/>
      <c r="C26" s="243"/>
      <c r="D26" s="276"/>
      <c r="E26" s="75" t="s">
        <v>55</v>
      </c>
      <c r="F26" s="137" t="s">
        <v>56</v>
      </c>
      <c r="G26" s="93" t="s">
        <v>38</v>
      </c>
      <c r="H26" s="147" t="s">
        <v>209</v>
      </c>
      <c r="I26" s="87" t="str">
        <f t="shared" si="2"/>
        <v>Mantenimiento del control</v>
      </c>
      <c r="J26" s="86">
        <f t="shared" si="0"/>
        <v>20</v>
      </c>
      <c r="K26" s="84">
        <v>0.12345678912345</v>
      </c>
      <c r="L26" s="84">
        <f t="shared" si="3"/>
        <v>20.123456789123448</v>
      </c>
    </row>
    <row r="27" spans="1:32" s="43" customFormat="1" ht="50.25" thickBot="1" x14ac:dyDescent="0.3">
      <c r="A27" s="82" t="str">
        <f t="shared" si="1"/>
        <v>1l</v>
      </c>
      <c r="B27" s="280"/>
      <c r="C27" s="244"/>
      <c r="D27" s="277"/>
      <c r="E27" s="76" t="s">
        <v>57</v>
      </c>
      <c r="F27" s="138" t="s">
        <v>58</v>
      </c>
      <c r="G27" s="94" t="s">
        <v>38</v>
      </c>
      <c r="H27" s="148" t="s">
        <v>197</v>
      </c>
      <c r="I27" s="88" t="str">
        <f t="shared" si="2"/>
        <v>Mantenimiento del control</v>
      </c>
      <c r="J27" s="86">
        <f t="shared" si="0"/>
        <v>20</v>
      </c>
      <c r="K27" s="84">
        <v>0.12345678912345601</v>
      </c>
      <c r="L27" s="84">
        <f t="shared" si="3"/>
        <v>20.123456789123455</v>
      </c>
    </row>
    <row r="28" spans="1:32" s="43" customFormat="1" ht="75.95" customHeight="1" x14ac:dyDescent="0.25">
      <c r="A28" s="82" t="str">
        <f>2&amp;E28</f>
        <v>2a</v>
      </c>
      <c r="B28" s="281" t="s">
        <v>59</v>
      </c>
      <c r="C28" s="245" t="s">
        <v>60</v>
      </c>
      <c r="D28" s="284" t="s">
        <v>61</v>
      </c>
      <c r="E28" s="74" t="s">
        <v>34</v>
      </c>
      <c r="F28" s="135" t="s">
        <v>62</v>
      </c>
      <c r="G28" s="91" t="s">
        <v>75</v>
      </c>
      <c r="H28" s="133" t="s">
        <v>210</v>
      </c>
      <c r="I28" s="83" t="str">
        <f t="shared" si="2"/>
        <v>Oportunidad de mejora</v>
      </c>
      <c r="J28" s="84">
        <f>+IF(G28="Si",40,IF(G28="En proceso",30,20))</f>
        <v>30</v>
      </c>
      <c r="K28" s="84">
        <v>0.23</v>
      </c>
      <c r="L28" s="84">
        <f t="shared" si="3"/>
        <v>30.23</v>
      </c>
    </row>
    <row r="29" spans="1:32" s="43" customFormat="1" ht="63" x14ac:dyDescent="0.25">
      <c r="A29" s="82" t="str">
        <f t="shared" ref="A29:A31" si="4">2&amp;E29</f>
        <v>2b</v>
      </c>
      <c r="B29" s="282"/>
      <c r="C29" s="246"/>
      <c r="D29" s="260"/>
      <c r="E29" s="75" t="s">
        <v>36</v>
      </c>
      <c r="F29" s="137" t="s">
        <v>63</v>
      </c>
      <c r="G29" s="93" t="s">
        <v>75</v>
      </c>
      <c r="H29" s="133" t="s">
        <v>210</v>
      </c>
      <c r="I29" s="87" t="str">
        <f t="shared" si="2"/>
        <v>Oportunidad de mejora</v>
      </c>
      <c r="J29" s="84">
        <f>+IF(G29="Si",40,IF(G29="En proceso",30,20))</f>
        <v>30</v>
      </c>
      <c r="K29" s="84">
        <v>0.23400000000000001</v>
      </c>
      <c r="L29" s="84">
        <f t="shared" si="3"/>
        <v>30.234000000000002</v>
      </c>
    </row>
    <row r="30" spans="1:32" s="43" customFormat="1" ht="49.5" x14ac:dyDescent="0.25">
      <c r="A30" s="82" t="str">
        <f t="shared" si="4"/>
        <v>2c</v>
      </c>
      <c r="B30" s="282"/>
      <c r="C30" s="246"/>
      <c r="D30" s="260"/>
      <c r="E30" s="75" t="s">
        <v>39</v>
      </c>
      <c r="F30" s="137" t="s">
        <v>64</v>
      </c>
      <c r="G30" s="93" t="s">
        <v>38</v>
      </c>
      <c r="H30" s="151" t="s">
        <v>211</v>
      </c>
      <c r="I30" s="87" t="str">
        <f t="shared" si="2"/>
        <v>Mantenimiento del control</v>
      </c>
      <c r="J30" s="84">
        <f>+IF(G30="Si",40,IF(G30="En proceso",30,20))</f>
        <v>40</v>
      </c>
      <c r="K30" s="84">
        <v>0.23449999999999999</v>
      </c>
      <c r="L30" s="84">
        <f t="shared" si="3"/>
        <v>40.234499999999997</v>
      </c>
    </row>
    <row r="31" spans="1:32" s="43" customFormat="1" ht="63.75" thickBot="1" x14ac:dyDescent="0.3">
      <c r="A31" s="82" t="str">
        <f t="shared" si="4"/>
        <v>2d</v>
      </c>
      <c r="B31" s="283"/>
      <c r="C31" s="247"/>
      <c r="D31" s="285"/>
      <c r="E31" s="76" t="s">
        <v>41</v>
      </c>
      <c r="F31" s="138" t="s">
        <v>65</v>
      </c>
      <c r="G31" s="94" t="s">
        <v>38</v>
      </c>
      <c r="H31" s="151" t="s">
        <v>212</v>
      </c>
      <c r="I31" s="88" t="str">
        <f t="shared" si="2"/>
        <v>Mantenimiento del control</v>
      </c>
      <c r="J31" s="84">
        <f>+IF(G31="Si",40,IF(G31="En proceso",30,20))</f>
        <v>40</v>
      </c>
      <c r="K31" s="84">
        <v>0.23455999999999999</v>
      </c>
      <c r="L31" s="84">
        <f t="shared" si="3"/>
        <v>40.234560000000002</v>
      </c>
    </row>
    <row r="32" spans="1:32" s="43" customFormat="1" ht="66" customHeight="1" x14ac:dyDescent="0.25">
      <c r="A32" s="82" t="str">
        <f>3&amp;E32</f>
        <v>3a</v>
      </c>
      <c r="B32" s="257" t="s">
        <v>66</v>
      </c>
      <c r="C32" s="257" t="s">
        <v>60</v>
      </c>
      <c r="D32" s="258" t="s">
        <v>67</v>
      </c>
      <c r="E32" s="77" t="s">
        <v>34</v>
      </c>
      <c r="F32" s="137" t="s">
        <v>68</v>
      </c>
      <c r="G32" s="150" t="s">
        <v>38</v>
      </c>
      <c r="H32" s="133" t="s">
        <v>213</v>
      </c>
      <c r="I32" s="87" t="str">
        <f t="shared" si="2"/>
        <v>Mantenimiento del control</v>
      </c>
      <c r="J32" s="84">
        <f t="shared" ref="J32:J37" si="5">+IF(G32="Si",40,IF(G32="En proceso",30,20))</f>
        <v>40</v>
      </c>
      <c r="K32" s="89">
        <v>0.234567</v>
      </c>
      <c r="L32" s="84">
        <f t="shared" ref="L32:L37" si="6">+J32+K32</f>
        <v>40.234566999999998</v>
      </c>
      <c r="M32" s="42"/>
      <c r="N32" s="42"/>
      <c r="O32" s="42"/>
      <c r="P32" s="42"/>
      <c r="Q32" s="42"/>
      <c r="R32" s="42"/>
      <c r="S32" s="42"/>
      <c r="T32" s="42"/>
      <c r="U32" s="42"/>
      <c r="V32" s="42"/>
      <c r="W32" s="42"/>
      <c r="X32" s="42"/>
      <c r="Y32" s="42"/>
      <c r="Z32" s="42"/>
      <c r="AA32" s="42"/>
      <c r="AB32" s="42"/>
      <c r="AC32" s="42"/>
      <c r="AD32" s="42"/>
      <c r="AE32" s="42"/>
      <c r="AF32" s="42"/>
    </row>
    <row r="33" spans="1:32" s="43" customFormat="1" ht="90.95" customHeight="1" x14ac:dyDescent="0.25">
      <c r="A33" s="82" t="str">
        <f t="shared" ref="A33:A34" si="7">3&amp;E33</f>
        <v>3b</v>
      </c>
      <c r="B33" s="257"/>
      <c r="C33" s="257"/>
      <c r="D33" s="258"/>
      <c r="E33" s="77" t="s">
        <v>36</v>
      </c>
      <c r="F33" s="137" t="s">
        <v>69</v>
      </c>
      <c r="G33" s="150" t="s">
        <v>38</v>
      </c>
      <c r="H33" s="133" t="s">
        <v>214</v>
      </c>
      <c r="I33" s="87" t="str">
        <f t="shared" si="2"/>
        <v>Mantenimiento del control</v>
      </c>
      <c r="J33" s="84">
        <f t="shared" si="5"/>
        <v>40</v>
      </c>
      <c r="K33" s="89">
        <v>0.23456779999999999</v>
      </c>
      <c r="L33" s="84">
        <f t="shared" si="6"/>
        <v>40.234567800000001</v>
      </c>
      <c r="M33" s="42"/>
      <c r="N33" s="42"/>
      <c r="O33" s="42"/>
      <c r="P33" s="42"/>
      <c r="Q33" s="42"/>
      <c r="R33" s="42"/>
      <c r="S33" s="42"/>
      <c r="T33" s="42"/>
      <c r="U33" s="42"/>
      <c r="V33" s="42"/>
      <c r="W33" s="42"/>
      <c r="X33" s="42"/>
      <c r="Y33" s="42"/>
      <c r="Z33" s="42"/>
      <c r="AA33" s="42"/>
      <c r="AB33" s="42"/>
      <c r="AC33" s="42"/>
      <c r="AD33" s="42"/>
      <c r="AE33" s="42"/>
      <c r="AF33" s="42"/>
    </row>
    <row r="34" spans="1:32" s="43" customFormat="1" ht="66" customHeight="1" thickBot="1" x14ac:dyDescent="0.3">
      <c r="A34" s="82" t="str">
        <f t="shared" si="7"/>
        <v>3c</v>
      </c>
      <c r="B34" s="257"/>
      <c r="C34" s="257"/>
      <c r="D34" s="258"/>
      <c r="E34" s="77" t="s">
        <v>39</v>
      </c>
      <c r="F34" s="137" t="s">
        <v>70</v>
      </c>
      <c r="G34" s="150" t="s">
        <v>38</v>
      </c>
      <c r="H34" s="133" t="s">
        <v>215</v>
      </c>
      <c r="I34" s="87" t="str">
        <f t="shared" si="2"/>
        <v>Mantenimiento del control</v>
      </c>
      <c r="J34" s="84">
        <f t="shared" si="5"/>
        <v>40</v>
      </c>
      <c r="K34" s="89">
        <v>0.23456789</v>
      </c>
      <c r="L34" s="84">
        <f t="shared" si="6"/>
        <v>40.234567890000001</v>
      </c>
      <c r="M34" s="42"/>
      <c r="N34" s="42"/>
      <c r="O34" s="42"/>
      <c r="P34" s="42"/>
      <c r="Q34" s="42"/>
      <c r="R34" s="42"/>
      <c r="S34" s="42"/>
      <c r="T34" s="42"/>
      <c r="U34" s="42"/>
      <c r="V34" s="42"/>
      <c r="W34" s="42"/>
      <c r="X34" s="42"/>
      <c r="Y34" s="42"/>
      <c r="Z34" s="42"/>
      <c r="AA34" s="42"/>
      <c r="AB34" s="42"/>
      <c r="AC34" s="42"/>
      <c r="AD34" s="42"/>
      <c r="AE34" s="42"/>
      <c r="AF34" s="42"/>
    </row>
    <row r="35" spans="1:32" s="43" customFormat="1" ht="60.75" customHeight="1" x14ac:dyDescent="0.25">
      <c r="A35" s="82" t="str">
        <f>4&amp;E35</f>
        <v>4a</v>
      </c>
      <c r="B35" s="259" t="s">
        <v>71</v>
      </c>
      <c r="C35" s="246" t="s">
        <v>60</v>
      </c>
      <c r="D35" s="260" t="s">
        <v>72</v>
      </c>
      <c r="E35" s="74" t="s">
        <v>34</v>
      </c>
      <c r="F35" s="135" t="s">
        <v>73</v>
      </c>
      <c r="G35" s="91" t="s">
        <v>38</v>
      </c>
      <c r="H35" s="132" t="s">
        <v>216</v>
      </c>
      <c r="I35" s="83" t="str">
        <f t="shared" si="2"/>
        <v>Mantenimiento del control</v>
      </c>
      <c r="J35" s="84">
        <f t="shared" si="5"/>
        <v>40</v>
      </c>
      <c r="K35" s="89">
        <v>0.23456789119999999</v>
      </c>
      <c r="L35" s="84">
        <f t="shared" si="6"/>
        <v>40.234567891200001</v>
      </c>
      <c r="M35" s="42"/>
      <c r="N35" s="42"/>
      <c r="O35" s="42"/>
      <c r="P35" s="42"/>
      <c r="Q35" s="42"/>
    </row>
    <row r="36" spans="1:32" s="43" customFormat="1" ht="57.75" customHeight="1" x14ac:dyDescent="0.25">
      <c r="A36" s="82" t="str">
        <f t="shared" ref="A36:A37" si="8">4&amp;E36</f>
        <v>4b</v>
      </c>
      <c r="B36" s="259"/>
      <c r="C36" s="246"/>
      <c r="D36" s="260"/>
      <c r="E36" s="75" t="s">
        <v>36</v>
      </c>
      <c r="F36" s="137" t="s">
        <v>74</v>
      </c>
      <c r="G36" s="93" t="s">
        <v>38</v>
      </c>
      <c r="H36" s="133" t="s">
        <v>191</v>
      </c>
      <c r="I36" s="87" t="str">
        <f t="shared" si="2"/>
        <v>Mantenimiento del control</v>
      </c>
      <c r="J36" s="84">
        <f t="shared" si="5"/>
        <v>40</v>
      </c>
      <c r="K36" s="89">
        <v>0.23456789122999999</v>
      </c>
      <c r="L36" s="84">
        <f t="shared" si="6"/>
        <v>40.23456789123</v>
      </c>
      <c r="M36" s="42"/>
      <c r="N36" s="42"/>
      <c r="O36" s="42"/>
      <c r="P36" s="42"/>
      <c r="Q36" s="42"/>
    </row>
    <row r="37" spans="1:32" s="43" customFormat="1" ht="49.5" customHeight="1" thickBot="1" x14ac:dyDescent="0.3">
      <c r="A37" s="82" t="str">
        <f t="shared" si="8"/>
        <v>4c</v>
      </c>
      <c r="B37" s="259"/>
      <c r="C37" s="246"/>
      <c r="D37" s="260"/>
      <c r="E37" s="75" t="s">
        <v>39</v>
      </c>
      <c r="F37" s="137" t="s">
        <v>76</v>
      </c>
      <c r="G37" s="93" t="s">
        <v>38</v>
      </c>
      <c r="H37" s="133" t="s">
        <v>217</v>
      </c>
      <c r="I37" s="87" t="str">
        <f t="shared" si="2"/>
        <v>Mantenimiento del control</v>
      </c>
      <c r="J37" s="84">
        <f t="shared" si="5"/>
        <v>40</v>
      </c>
      <c r="K37" s="89">
        <v>0.23456789123399999</v>
      </c>
      <c r="L37" s="84">
        <f t="shared" si="6"/>
        <v>40.234567891234001</v>
      </c>
      <c r="M37" s="42"/>
      <c r="N37" s="42"/>
      <c r="O37" s="42"/>
      <c r="P37" s="42"/>
      <c r="Q37" s="42"/>
    </row>
    <row r="38" spans="1:32" s="43" customFormat="1" ht="84.95" customHeight="1" x14ac:dyDescent="0.25">
      <c r="A38" s="82" t="str">
        <f>5&amp;E38</f>
        <v>5a</v>
      </c>
      <c r="B38" s="261" t="s">
        <v>77</v>
      </c>
      <c r="C38" s="248" t="s">
        <v>78</v>
      </c>
      <c r="D38" s="264" t="s">
        <v>79</v>
      </c>
      <c r="E38" s="74" t="s">
        <v>34</v>
      </c>
      <c r="F38" s="139" t="s">
        <v>80</v>
      </c>
      <c r="G38" s="95" t="s">
        <v>38</v>
      </c>
      <c r="H38" s="143" t="s">
        <v>218</v>
      </c>
      <c r="I38" s="90" t="str">
        <f t="shared" si="2"/>
        <v>Mantenimiento del control</v>
      </c>
      <c r="J38" s="84">
        <f>+IF(G38="Si",60,IF(G38="En proceso",50,40))</f>
        <v>60</v>
      </c>
      <c r="K38" s="84">
        <v>0.31</v>
      </c>
      <c r="L38" s="84">
        <f t="shared" si="3"/>
        <v>60.31</v>
      </c>
    </row>
    <row r="39" spans="1:32" s="43" customFormat="1" ht="63" x14ac:dyDescent="0.25">
      <c r="A39" s="82" t="str">
        <f t="shared" ref="A39:A42" si="9">5&amp;E39</f>
        <v>5b</v>
      </c>
      <c r="B39" s="262"/>
      <c r="C39" s="249"/>
      <c r="D39" s="265"/>
      <c r="E39" s="75" t="s">
        <v>36</v>
      </c>
      <c r="F39" s="137" t="s">
        <v>81</v>
      </c>
      <c r="G39" s="93" t="s">
        <v>38</v>
      </c>
      <c r="H39" s="133" t="s">
        <v>219</v>
      </c>
      <c r="I39" s="87" t="str">
        <f t="shared" si="2"/>
        <v>Mantenimiento del control</v>
      </c>
      <c r="J39" s="84">
        <f>+IF(G39="Si",60,IF(G39="En proceso",50,40))</f>
        <v>60</v>
      </c>
      <c r="K39" s="84">
        <v>0.32300000000000001</v>
      </c>
      <c r="L39" s="84">
        <f t="shared" si="3"/>
        <v>60.323</v>
      </c>
    </row>
    <row r="40" spans="1:32" s="43" customFormat="1" ht="82.5" x14ac:dyDescent="0.25">
      <c r="A40" s="82" t="str">
        <f t="shared" si="9"/>
        <v>5c</v>
      </c>
      <c r="B40" s="262"/>
      <c r="C40" s="249"/>
      <c r="D40" s="265"/>
      <c r="E40" s="75" t="s">
        <v>39</v>
      </c>
      <c r="F40" s="137" t="s">
        <v>82</v>
      </c>
      <c r="G40" s="93" t="s">
        <v>38</v>
      </c>
      <c r="H40" s="133" t="s">
        <v>220</v>
      </c>
      <c r="I40" s="87" t="str">
        <f t="shared" si="2"/>
        <v>Mantenimiento del control</v>
      </c>
      <c r="J40" s="84">
        <f>+IF(G40="Si",60,IF(G40="En proceso",50,40))</f>
        <v>60</v>
      </c>
      <c r="K40" s="84">
        <v>0.32400000000000001</v>
      </c>
      <c r="L40" s="84">
        <f t="shared" si="3"/>
        <v>60.323999999999998</v>
      </c>
    </row>
    <row r="41" spans="1:32" s="43" customFormat="1" ht="94.5" x14ac:dyDescent="0.25">
      <c r="A41" s="82" t="str">
        <f t="shared" si="9"/>
        <v>5d</v>
      </c>
      <c r="B41" s="262"/>
      <c r="C41" s="249"/>
      <c r="D41" s="265"/>
      <c r="E41" s="75" t="s">
        <v>41</v>
      </c>
      <c r="F41" s="137" t="s">
        <v>83</v>
      </c>
      <c r="G41" s="93" t="s">
        <v>38</v>
      </c>
      <c r="H41" s="133" t="s">
        <v>221</v>
      </c>
      <c r="I41" s="87" t="str">
        <f t="shared" si="2"/>
        <v>Mantenimiento del control</v>
      </c>
      <c r="J41" s="84">
        <f>+IF(G41="Si",60,IF(G41="En proceso",50,40))</f>
        <v>60</v>
      </c>
      <c r="K41" s="84">
        <v>0.32500000000000001</v>
      </c>
      <c r="L41" s="84">
        <f t="shared" si="3"/>
        <v>60.325000000000003</v>
      </c>
    </row>
    <row r="42" spans="1:32" s="43" customFormat="1" ht="50.25" thickBot="1" x14ac:dyDescent="0.3">
      <c r="A42" s="82" t="str">
        <f t="shared" si="9"/>
        <v>5e</v>
      </c>
      <c r="B42" s="263"/>
      <c r="C42" s="250"/>
      <c r="D42" s="266"/>
      <c r="E42" s="76" t="s">
        <v>43</v>
      </c>
      <c r="F42" s="138" t="s">
        <v>84</v>
      </c>
      <c r="G42" s="94" t="s">
        <v>38</v>
      </c>
      <c r="H42" s="142" t="s">
        <v>192</v>
      </c>
      <c r="I42" s="88" t="str">
        <f t="shared" si="2"/>
        <v>Mantenimiento del control</v>
      </c>
      <c r="J42" s="84">
        <f>+IF(G42="Si",60,IF(G42="En proceso",50,40))</f>
        <v>60</v>
      </c>
      <c r="K42" s="84">
        <v>0.32600000000000001</v>
      </c>
      <c r="L42" s="84">
        <f t="shared" si="3"/>
        <v>60.326000000000001</v>
      </c>
    </row>
    <row r="43" spans="1:32" s="43" customFormat="1" ht="40.5" customHeight="1" x14ac:dyDescent="0.25">
      <c r="A43" s="82" t="str">
        <f>6&amp;E43</f>
        <v>6a</v>
      </c>
      <c r="B43" s="271" t="s">
        <v>85</v>
      </c>
      <c r="C43" s="251" t="s">
        <v>86</v>
      </c>
      <c r="D43" s="268" t="s">
        <v>87</v>
      </c>
      <c r="E43" s="74" t="s">
        <v>34</v>
      </c>
      <c r="F43" s="135" t="s">
        <v>88</v>
      </c>
      <c r="G43" s="91" t="s">
        <v>38</v>
      </c>
      <c r="H43" s="132" t="s">
        <v>222</v>
      </c>
      <c r="I43" s="83" t="str">
        <f t="shared" si="2"/>
        <v>Mantenimiento del control</v>
      </c>
      <c r="J43" s="84">
        <f t="shared" ref="J43:J49" si="10">+IF(G43="Si",80,IF(G43="En proceso",70,60))</f>
        <v>80</v>
      </c>
      <c r="K43" s="84">
        <v>0.41199999999999998</v>
      </c>
      <c r="L43" s="84">
        <f t="shared" si="3"/>
        <v>80.412000000000006</v>
      </c>
    </row>
    <row r="44" spans="1:32" s="43" customFormat="1" ht="41.1" customHeight="1" x14ac:dyDescent="0.25">
      <c r="A44" s="82" t="str">
        <f t="shared" ref="A44:A49" si="11">6&amp;E44</f>
        <v>6b</v>
      </c>
      <c r="B44" s="272"/>
      <c r="C44" s="252"/>
      <c r="D44" s="269"/>
      <c r="E44" s="75" t="s">
        <v>36</v>
      </c>
      <c r="F44" s="137" t="s">
        <v>89</v>
      </c>
      <c r="G44" s="93" t="s">
        <v>38</v>
      </c>
      <c r="H44" s="133" t="s">
        <v>226</v>
      </c>
      <c r="I44" s="87" t="str">
        <f t="shared" si="2"/>
        <v>Mantenimiento del control</v>
      </c>
      <c r="J44" s="84">
        <f t="shared" si="10"/>
        <v>80</v>
      </c>
      <c r="K44" s="84">
        <v>0.4123</v>
      </c>
      <c r="L44" s="84">
        <f t="shared" si="3"/>
        <v>80.412300000000002</v>
      </c>
    </row>
    <row r="45" spans="1:32" s="43" customFormat="1" ht="42.95" customHeight="1" x14ac:dyDescent="0.25">
      <c r="A45" s="82" t="str">
        <f t="shared" si="11"/>
        <v>6c</v>
      </c>
      <c r="B45" s="272"/>
      <c r="C45" s="252"/>
      <c r="D45" s="269"/>
      <c r="E45" s="75" t="s">
        <v>39</v>
      </c>
      <c r="F45" s="137" t="s">
        <v>90</v>
      </c>
      <c r="G45" s="93" t="s">
        <v>38</v>
      </c>
      <c r="H45" s="133" t="s">
        <v>227</v>
      </c>
      <c r="I45" s="87" t="str">
        <f t="shared" si="2"/>
        <v>Mantenimiento del control</v>
      </c>
      <c r="J45" s="84">
        <f t="shared" si="10"/>
        <v>80</v>
      </c>
      <c r="K45" s="84">
        <v>0.41233999999999998</v>
      </c>
      <c r="L45" s="84">
        <f t="shared" si="3"/>
        <v>80.41234</v>
      </c>
    </row>
    <row r="46" spans="1:32" s="43" customFormat="1" ht="49.5" x14ac:dyDescent="0.25">
      <c r="A46" s="82" t="str">
        <f t="shared" si="11"/>
        <v>6d</v>
      </c>
      <c r="B46" s="272"/>
      <c r="C46" s="252"/>
      <c r="D46" s="269"/>
      <c r="E46" s="75" t="s">
        <v>41</v>
      </c>
      <c r="F46" s="137" t="s">
        <v>91</v>
      </c>
      <c r="G46" s="93" t="s">
        <v>38</v>
      </c>
      <c r="H46" s="133" t="s">
        <v>228</v>
      </c>
      <c r="I46" s="87" t="str">
        <f t="shared" si="2"/>
        <v>Mantenimiento del control</v>
      </c>
      <c r="J46" s="84">
        <f t="shared" si="10"/>
        <v>80</v>
      </c>
      <c r="K46" s="84">
        <v>0.41234500000000002</v>
      </c>
      <c r="L46" s="84">
        <f t="shared" si="3"/>
        <v>80.412345000000002</v>
      </c>
    </row>
    <row r="47" spans="1:32" s="43" customFormat="1" ht="63" x14ac:dyDescent="0.25">
      <c r="A47" s="82" t="str">
        <f t="shared" si="11"/>
        <v>6e</v>
      </c>
      <c r="B47" s="272"/>
      <c r="C47" s="252"/>
      <c r="D47" s="269"/>
      <c r="E47" s="75" t="s">
        <v>43</v>
      </c>
      <c r="F47" s="137" t="s">
        <v>92</v>
      </c>
      <c r="G47" s="93" t="s">
        <v>38</v>
      </c>
      <c r="H47" s="133" t="s">
        <v>229</v>
      </c>
      <c r="I47" s="87" t="str">
        <f t="shared" si="2"/>
        <v>Mantenimiento del control</v>
      </c>
      <c r="J47" s="84">
        <f t="shared" si="10"/>
        <v>80</v>
      </c>
      <c r="K47" s="84">
        <v>0.41234559999999998</v>
      </c>
      <c r="L47" s="84">
        <f t="shared" si="3"/>
        <v>80.412345599999995</v>
      </c>
    </row>
    <row r="48" spans="1:32" s="43" customFormat="1" ht="66" x14ac:dyDescent="0.25">
      <c r="A48" s="82" t="str">
        <f t="shared" si="11"/>
        <v>6f</v>
      </c>
      <c r="B48" s="272"/>
      <c r="C48" s="252"/>
      <c r="D48" s="269"/>
      <c r="E48" s="75" t="s">
        <v>45</v>
      </c>
      <c r="F48" s="137" t="s">
        <v>93</v>
      </c>
      <c r="G48" s="93" t="s">
        <v>38</v>
      </c>
      <c r="H48" s="133" t="s">
        <v>230</v>
      </c>
      <c r="I48" s="87" t="str">
        <f t="shared" si="2"/>
        <v>Mantenimiento del control</v>
      </c>
      <c r="J48" s="84">
        <f t="shared" si="10"/>
        <v>80</v>
      </c>
      <c r="K48" s="84">
        <v>0.41234567</v>
      </c>
      <c r="L48" s="84">
        <f t="shared" si="3"/>
        <v>80.412345669999993</v>
      </c>
    </row>
    <row r="49" spans="1:17" s="43" customFormat="1" ht="48" thickBot="1" x14ac:dyDescent="0.3">
      <c r="A49" s="82" t="str">
        <f t="shared" si="11"/>
        <v>6g</v>
      </c>
      <c r="B49" s="273"/>
      <c r="C49" s="253"/>
      <c r="D49" s="270"/>
      <c r="E49" s="76" t="s">
        <v>47</v>
      </c>
      <c r="F49" s="138" t="s">
        <v>94</v>
      </c>
      <c r="G49" s="94" t="s">
        <v>38</v>
      </c>
      <c r="H49" s="142" t="s">
        <v>231</v>
      </c>
      <c r="I49" s="88" t="str">
        <f t="shared" si="2"/>
        <v>Mantenimiento del control</v>
      </c>
      <c r="J49" s="84">
        <f t="shared" si="10"/>
        <v>80</v>
      </c>
      <c r="K49" s="84">
        <v>0.41234567799999999</v>
      </c>
      <c r="L49" s="84">
        <f t="shared" si="3"/>
        <v>80.412345677999994</v>
      </c>
    </row>
    <row r="50" spans="1:17" s="43" customFormat="1" ht="54.75" customHeight="1" x14ac:dyDescent="0.25">
      <c r="A50" s="82" t="str">
        <f>7&amp;E50</f>
        <v>7a</v>
      </c>
      <c r="B50" s="239" t="s">
        <v>95</v>
      </c>
      <c r="C50" s="254" t="s">
        <v>96</v>
      </c>
      <c r="D50" s="236" t="s">
        <v>97</v>
      </c>
      <c r="E50" s="74" t="s">
        <v>34</v>
      </c>
      <c r="F50" s="135" t="s">
        <v>98</v>
      </c>
      <c r="G50" s="91" t="s">
        <v>38</v>
      </c>
      <c r="H50" s="132" t="s">
        <v>223</v>
      </c>
      <c r="I50" s="83" t="str">
        <f t="shared" si="2"/>
        <v>Mantenimiento del control</v>
      </c>
      <c r="J50" s="84">
        <f>+IF(G50="Si",120,IF(G50="En proceso",100,80))</f>
        <v>120</v>
      </c>
      <c r="K50" s="84">
        <v>0.85099999999999998</v>
      </c>
      <c r="L50" s="84">
        <f t="shared" si="3"/>
        <v>120.851</v>
      </c>
    </row>
    <row r="51" spans="1:17" s="43" customFormat="1" ht="94.5" x14ac:dyDescent="0.25">
      <c r="A51" s="82" t="str">
        <f t="shared" ref="A51:A53" si="12">7&amp;E51</f>
        <v>7d</v>
      </c>
      <c r="B51" s="240"/>
      <c r="C51" s="255"/>
      <c r="D51" s="237"/>
      <c r="E51" s="75" t="s">
        <v>41</v>
      </c>
      <c r="F51" s="137" t="s">
        <v>99</v>
      </c>
      <c r="G51" s="93" t="s">
        <v>38</v>
      </c>
      <c r="H51" s="133" t="s">
        <v>224</v>
      </c>
      <c r="I51" s="87" t="str">
        <f t="shared" si="2"/>
        <v>Mantenimiento del control</v>
      </c>
      <c r="J51" s="84">
        <f t="shared" ref="J51:J59" si="13">+IF(G51="Si",120,IF(G51="En proceso",100,80))</f>
        <v>120</v>
      </c>
      <c r="K51" s="84">
        <v>0.85119999999999996</v>
      </c>
      <c r="L51" s="84">
        <f t="shared" si="3"/>
        <v>120.85120000000001</v>
      </c>
    </row>
    <row r="52" spans="1:17" s="43" customFormat="1" ht="82.5" x14ac:dyDescent="0.25">
      <c r="A52" s="82" t="str">
        <f t="shared" si="12"/>
        <v>7f</v>
      </c>
      <c r="B52" s="240"/>
      <c r="C52" s="255"/>
      <c r="D52" s="237"/>
      <c r="E52" s="75" t="s">
        <v>45</v>
      </c>
      <c r="F52" s="137" t="s">
        <v>100</v>
      </c>
      <c r="G52" s="93" t="s">
        <v>38</v>
      </c>
      <c r="H52" s="133" t="s">
        <v>225</v>
      </c>
      <c r="I52" s="87" t="str">
        <f t="shared" si="2"/>
        <v>Mantenimiento del control</v>
      </c>
      <c r="J52" s="84">
        <f t="shared" si="13"/>
        <v>120</v>
      </c>
      <c r="K52" s="84">
        <v>0.85123000000000004</v>
      </c>
      <c r="L52" s="84">
        <f t="shared" si="3"/>
        <v>120.85123</v>
      </c>
    </row>
    <row r="53" spans="1:17" s="43" customFormat="1" ht="66.75" thickBot="1" x14ac:dyDescent="0.3">
      <c r="A53" s="82" t="str">
        <f t="shared" si="12"/>
        <v>7g</v>
      </c>
      <c r="B53" s="241"/>
      <c r="C53" s="256"/>
      <c r="D53" s="274"/>
      <c r="E53" s="76" t="s">
        <v>47</v>
      </c>
      <c r="F53" s="138" t="s">
        <v>101</v>
      </c>
      <c r="G53" s="94" t="s">
        <v>38</v>
      </c>
      <c r="H53" s="142" t="s">
        <v>232</v>
      </c>
      <c r="I53" s="88" t="str">
        <f t="shared" si="2"/>
        <v>Mantenimiento del control</v>
      </c>
      <c r="J53" s="84">
        <f t="shared" si="13"/>
        <v>120</v>
      </c>
      <c r="K53" s="84">
        <v>0.85123400000000005</v>
      </c>
      <c r="L53" s="84">
        <f t="shared" si="3"/>
        <v>120.85123400000001</v>
      </c>
    </row>
    <row r="54" spans="1:17" s="43" customFormat="1" ht="102.75" customHeight="1" thickBot="1" x14ac:dyDescent="0.3">
      <c r="A54" s="82" t="str">
        <f>8&amp;E54</f>
        <v>8h</v>
      </c>
      <c r="B54" s="130" t="s">
        <v>102</v>
      </c>
      <c r="C54" s="131" t="s">
        <v>96</v>
      </c>
      <c r="D54" s="145" t="s">
        <v>103</v>
      </c>
      <c r="E54" s="74" t="s">
        <v>49</v>
      </c>
      <c r="F54" s="135" t="s">
        <v>104</v>
      </c>
      <c r="G54" s="91" t="s">
        <v>38</v>
      </c>
      <c r="H54" s="149" t="s">
        <v>189</v>
      </c>
      <c r="I54" s="83" t="str">
        <f t="shared" si="2"/>
        <v>Mantenimiento del control</v>
      </c>
      <c r="J54" s="84">
        <f t="shared" si="13"/>
        <v>120</v>
      </c>
      <c r="K54" s="84">
        <v>0.85123450000000001</v>
      </c>
      <c r="L54" s="84">
        <f t="shared" si="3"/>
        <v>120.8512345</v>
      </c>
    </row>
    <row r="55" spans="1:17" s="43" customFormat="1" ht="54.75" customHeight="1" x14ac:dyDescent="0.25">
      <c r="A55" s="82" t="str">
        <f>9&amp;E55</f>
        <v>9a</v>
      </c>
      <c r="B55" s="239" t="s">
        <v>105</v>
      </c>
      <c r="C55" s="254" t="s">
        <v>96</v>
      </c>
      <c r="D55" s="236" t="s">
        <v>106</v>
      </c>
      <c r="E55" s="74" t="s">
        <v>34</v>
      </c>
      <c r="F55" s="135" t="s">
        <v>107</v>
      </c>
      <c r="G55" s="91" t="s">
        <v>38</v>
      </c>
      <c r="H55" s="132" t="s">
        <v>193</v>
      </c>
      <c r="I55" s="83" t="str">
        <f t="shared" si="2"/>
        <v>Mantenimiento del control</v>
      </c>
      <c r="J55" s="84">
        <f t="shared" si="13"/>
        <v>120</v>
      </c>
      <c r="K55" s="89">
        <v>0.85123455999999997</v>
      </c>
      <c r="L55" s="84">
        <f t="shared" si="3"/>
        <v>120.85123455999999</v>
      </c>
      <c r="M55" s="42"/>
      <c r="N55" s="42"/>
      <c r="O55" s="42"/>
      <c r="P55" s="42"/>
      <c r="Q55" s="42"/>
    </row>
    <row r="56" spans="1:17" s="43" customFormat="1" ht="60.95" customHeight="1" x14ac:dyDescent="0.25">
      <c r="A56" s="82" t="str">
        <f t="shared" ref="A56:A59" si="14">9&amp;E56</f>
        <v>9b</v>
      </c>
      <c r="B56" s="240"/>
      <c r="C56" s="255"/>
      <c r="D56" s="237"/>
      <c r="E56" s="75" t="s">
        <v>36</v>
      </c>
      <c r="F56" s="137" t="s">
        <v>108</v>
      </c>
      <c r="G56" s="93" t="s">
        <v>38</v>
      </c>
      <c r="H56" s="133" t="s">
        <v>190</v>
      </c>
      <c r="I56" s="87" t="str">
        <f t="shared" si="2"/>
        <v>Mantenimiento del control</v>
      </c>
      <c r="J56" s="84">
        <f t="shared" si="13"/>
        <v>120</v>
      </c>
      <c r="K56" s="89">
        <v>0.851234567</v>
      </c>
      <c r="L56" s="84">
        <f t="shared" si="3"/>
        <v>120.85123456700001</v>
      </c>
      <c r="M56" s="42"/>
      <c r="N56" s="42"/>
      <c r="O56" s="42"/>
      <c r="P56" s="42"/>
      <c r="Q56" s="42"/>
    </row>
    <row r="57" spans="1:17" s="43" customFormat="1" ht="59.1" customHeight="1" x14ac:dyDescent="0.25">
      <c r="A57" s="82" t="str">
        <f t="shared" si="14"/>
        <v>9c</v>
      </c>
      <c r="B57" s="240"/>
      <c r="C57" s="255"/>
      <c r="D57" s="237"/>
      <c r="E57" s="75" t="s">
        <v>39</v>
      </c>
      <c r="F57" s="137" t="s">
        <v>109</v>
      </c>
      <c r="G57" s="93" t="s">
        <v>38</v>
      </c>
      <c r="H57" s="133" t="s">
        <v>194</v>
      </c>
      <c r="I57" s="87" t="str">
        <f t="shared" si="2"/>
        <v>Mantenimiento del control</v>
      </c>
      <c r="J57" s="84">
        <f t="shared" si="13"/>
        <v>120</v>
      </c>
      <c r="K57" s="89">
        <v>0.85123456779999995</v>
      </c>
      <c r="L57" s="84">
        <f t="shared" si="3"/>
        <v>120.85123456780001</v>
      </c>
      <c r="M57" s="42"/>
      <c r="N57" s="42"/>
      <c r="O57" s="42"/>
      <c r="P57" s="42"/>
      <c r="Q57" s="42"/>
    </row>
    <row r="58" spans="1:17" s="43" customFormat="1" ht="45.95" customHeight="1" x14ac:dyDescent="0.25">
      <c r="A58" s="82" t="str">
        <f t="shared" si="14"/>
        <v>9d</v>
      </c>
      <c r="B58" s="240"/>
      <c r="C58" s="255"/>
      <c r="D58" s="237"/>
      <c r="E58" s="75" t="s">
        <v>41</v>
      </c>
      <c r="F58" s="137" t="s">
        <v>110</v>
      </c>
      <c r="G58" s="93" t="s">
        <v>38</v>
      </c>
      <c r="H58" s="133" t="s">
        <v>233</v>
      </c>
      <c r="I58" s="87" t="str">
        <f t="shared" si="2"/>
        <v>Mantenimiento del control</v>
      </c>
      <c r="J58" s="84">
        <f t="shared" si="13"/>
        <v>120</v>
      </c>
      <c r="K58" s="89">
        <v>0.85123456788999996</v>
      </c>
      <c r="L58" s="84">
        <f t="shared" si="3"/>
        <v>120.85123456789</v>
      </c>
      <c r="M58" s="42"/>
      <c r="N58" s="42"/>
      <c r="O58" s="42"/>
      <c r="P58" s="42"/>
      <c r="Q58" s="42"/>
    </row>
    <row r="59" spans="1:17" s="43" customFormat="1" ht="48.95" customHeight="1" thickBot="1" x14ac:dyDescent="0.3">
      <c r="A59" s="82" t="str">
        <f t="shared" si="14"/>
        <v>9e</v>
      </c>
      <c r="B59" s="241"/>
      <c r="C59" s="255"/>
      <c r="D59" s="238"/>
      <c r="E59" s="76" t="s">
        <v>43</v>
      </c>
      <c r="F59" s="138" t="s">
        <v>111</v>
      </c>
      <c r="G59" s="94" t="s">
        <v>38</v>
      </c>
      <c r="H59" s="142" t="s">
        <v>195</v>
      </c>
      <c r="I59" s="88" t="str">
        <f t="shared" si="2"/>
        <v>Mantenimiento del control</v>
      </c>
      <c r="J59" s="84">
        <f t="shared" si="13"/>
        <v>120</v>
      </c>
      <c r="K59" s="89">
        <v>0.85123456789100005</v>
      </c>
      <c r="L59" s="84">
        <f t="shared" si="3"/>
        <v>120.851234567891</v>
      </c>
      <c r="M59" s="42"/>
      <c r="N59" s="42"/>
      <c r="O59" s="42"/>
      <c r="P59" s="42"/>
      <c r="Q59" s="42"/>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scale="21" fitToHeight="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C7" zoomScale="150" zoomScaleNormal="100" workbookViewId="0">
      <selection activeCell="C7" sqref="C7:K7"/>
    </sheetView>
  </sheetViews>
  <sheetFormatPr baseColWidth="10" defaultColWidth="11.42578125" defaultRowHeight="15" x14ac:dyDescent="0.25"/>
  <cols>
    <col min="3" max="3" width="22.85546875" customWidth="1"/>
    <col min="4" max="4" width="22.42578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317" t="s">
        <v>112</v>
      </c>
      <c r="D7" s="318"/>
      <c r="E7" s="318"/>
      <c r="F7" s="318"/>
      <c r="G7" s="318"/>
      <c r="H7" s="318"/>
      <c r="I7" s="318"/>
      <c r="J7" s="318"/>
      <c r="K7" s="319"/>
    </row>
    <row r="8" spans="1:11" s="1" customFormat="1" ht="15.75" thickBot="1" x14ac:dyDescent="0.3">
      <c r="C8" s="33"/>
      <c r="D8" s="33"/>
      <c r="E8" s="34"/>
      <c r="F8" s="34"/>
      <c r="G8" s="34"/>
      <c r="H8" s="34"/>
      <c r="I8" s="44"/>
      <c r="J8" s="34"/>
      <c r="K8" s="34"/>
    </row>
    <row r="9" spans="1:11" ht="21" thickBot="1" x14ac:dyDescent="0.3">
      <c r="A9" s="1"/>
      <c r="B9" s="1"/>
      <c r="C9" s="219" t="s">
        <v>15</v>
      </c>
      <c r="D9" s="220"/>
      <c r="E9" s="220" t="s">
        <v>16</v>
      </c>
      <c r="F9" s="231"/>
      <c r="G9" s="34"/>
      <c r="H9" s="34"/>
      <c r="I9" s="44"/>
      <c r="J9" s="34"/>
      <c r="K9" s="34"/>
    </row>
    <row r="10" spans="1:11" ht="54" customHeight="1" x14ac:dyDescent="0.25">
      <c r="A10" s="1"/>
      <c r="B10" s="1"/>
      <c r="C10" s="232" t="s">
        <v>17</v>
      </c>
      <c r="D10" s="233"/>
      <c r="E10" s="234" t="s">
        <v>18</v>
      </c>
      <c r="F10" s="235"/>
      <c r="G10" s="35"/>
      <c r="H10" s="36">
        <v>1</v>
      </c>
      <c r="I10" s="44"/>
      <c r="J10" s="34"/>
      <c r="K10" s="34"/>
    </row>
    <row r="11" spans="1:11" ht="46.5" customHeight="1" x14ac:dyDescent="0.25">
      <c r="A11" s="1"/>
      <c r="B11" s="1"/>
      <c r="C11" s="221" t="s">
        <v>19</v>
      </c>
      <c r="D11" s="222"/>
      <c r="E11" s="223" t="s">
        <v>113</v>
      </c>
      <c r="F11" s="224"/>
      <c r="G11" s="37" t="s">
        <v>114</v>
      </c>
      <c r="H11" s="36">
        <v>0.75</v>
      </c>
      <c r="I11" s="44"/>
      <c r="J11" s="34"/>
      <c r="K11" s="34"/>
    </row>
    <row r="12" spans="1:11" ht="70.5" customHeight="1" thickBot="1" x14ac:dyDescent="0.3">
      <c r="A12" s="1"/>
      <c r="B12" s="1"/>
      <c r="C12" s="225" t="s">
        <v>21</v>
      </c>
      <c r="D12" s="226"/>
      <c r="E12" s="227" t="s">
        <v>115</v>
      </c>
      <c r="F12" s="228"/>
      <c r="G12" s="38"/>
      <c r="H12" s="36">
        <v>0.25</v>
      </c>
      <c r="I12" s="44"/>
      <c r="J12" s="34"/>
      <c r="K12" s="34"/>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309" t="s">
        <v>116</v>
      </c>
      <c r="D17" s="311" t="s">
        <v>117</v>
      </c>
      <c r="E17" s="312"/>
      <c r="F17" s="313" t="s">
        <v>118</v>
      </c>
      <c r="G17" s="315" t="s">
        <v>119</v>
      </c>
      <c r="H17" s="32"/>
      <c r="I17" s="304" t="s">
        <v>120</v>
      </c>
      <c r="J17" s="304" t="s">
        <v>121</v>
      </c>
    </row>
    <row r="18" spans="1:10" ht="36" customHeight="1" thickBot="1" x14ac:dyDescent="0.3">
      <c r="A18" s="1"/>
      <c r="B18" s="1"/>
      <c r="C18" s="310"/>
      <c r="D18" s="96" t="s">
        <v>122</v>
      </c>
      <c r="E18" s="97" t="s">
        <v>27</v>
      </c>
      <c r="F18" s="314"/>
      <c r="G18" s="316"/>
      <c r="H18" s="32"/>
      <c r="I18" s="305"/>
      <c r="J18" s="305"/>
    </row>
    <row r="19" spans="1:10" ht="65.25" customHeight="1" x14ac:dyDescent="0.25">
      <c r="A19" s="1"/>
      <c r="B19" s="1"/>
      <c r="C19" s="115">
        <v>1</v>
      </c>
      <c r="D19" s="306" t="s">
        <v>32</v>
      </c>
      <c r="E19" s="98" t="str">
        <f>+IFERROR(INDEX(Hoja1!$E$2:$E$45,MATCH('Análisis Resultados'!C19,Hoja1!$H$2:$H$45,0)),"")</f>
        <v>Documento interno o adopción del MECI actualizado</v>
      </c>
      <c r="F19" s="99" t="str">
        <f>+IFERROR(VLOOKUP(C19,Hoja1!$H$2:$I$45,2,0),"")</f>
        <v>Si</v>
      </c>
      <c r="G19" s="100"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19" s="15"/>
      <c r="I19" s="116">
        <f>+IF(F19="Si",1,IF(F19="En proceso",0.5,0))</f>
        <v>1</v>
      </c>
      <c r="J19" s="288">
        <f>+AVERAGE(I19:I30)</f>
        <v>1</v>
      </c>
    </row>
    <row r="20" spans="1:10" ht="57" x14ac:dyDescent="0.25">
      <c r="A20" s="1"/>
      <c r="B20" s="1"/>
      <c r="C20" s="115">
        <v>2</v>
      </c>
      <c r="D20" s="307"/>
      <c r="E20" s="101" t="str">
        <f>+IFERROR(INDEX(Hoja1!$E$2:$E$45,MATCH('Análisis Resultados'!C20,Hoja1!$H$2:$H$45,0)),"")</f>
        <v>Un documento tal como un código de ética, integridad u otro que formalice los estándares de conducta, los principios institucionales o los valores del servicio público</v>
      </c>
      <c r="F20" s="102" t="str">
        <f>+IFERROR(VLOOKUP(C20,Hoja1!$H$2:$I$45,2,0),"")</f>
        <v>Si</v>
      </c>
      <c r="G20" s="103"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5"/>
      <c r="I20" s="117">
        <f t="shared" ref="I20:I62" si="1">+IF(F20="Si",1,IF(F20="En proceso",0.5,0))</f>
        <v>1</v>
      </c>
      <c r="J20" s="289"/>
    </row>
    <row r="21" spans="1:10" ht="45" x14ac:dyDescent="0.25">
      <c r="A21" s="1"/>
      <c r="B21" s="1"/>
      <c r="C21" s="115">
        <v>3</v>
      </c>
      <c r="D21" s="307"/>
      <c r="E21" s="101" t="str">
        <f>+IFERROR(INDEX(Hoja1!$E$2:$E$45,MATCH('Análisis Resultados'!C21,Hoja1!$H$2:$H$45,0)),"")</f>
        <v>Planes, programas y proyectos de acuerdo con las normas que rigen y atendiendo con su propósito fundamental institucional (misión)</v>
      </c>
      <c r="F21" s="102" t="str">
        <f>+IFERROR(VLOOKUP(C21,Hoja1!$H$2:$I$45,2,0),"")</f>
        <v>Si</v>
      </c>
      <c r="G21" s="103" t="str">
        <f t="shared" si="0"/>
        <v>Existe requerimiento pero se requiere actividades  dirigidas a su mantenimiento dentro del marco de las lineas de defensa.</v>
      </c>
      <c r="H21" s="15"/>
      <c r="I21" s="117">
        <f t="shared" si="1"/>
        <v>1</v>
      </c>
      <c r="J21" s="289"/>
    </row>
    <row r="22" spans="1:10" ht="56.25" customHeight="1" x14ac:dyDescent="0.25">
      <c r="A22" s="1"/>
      <c r="B22" s="1"/>
      <c r="C22" s="115">
        <v>4</v>
      </c>
      <c r="D22" s="307"/>
      <c r="E22" s="101" t="str">
        <f>+IFERROR(INDEX(Hoja1!$E$2:$E$45,MATCH('Análisis Resultados'!C22,Hoja1!$H$2:$H$45,0)),"")</f>
        <v>Una estructura organizacional formalizada (organigrama)</v>
      </c>
      <c r="F22" s="102" t="str">
        <f>+IFERROR(VLOOKUP(C22,Hoja1!$H$2:$I$45,2,0),"")</f>
        <v>Si</v>
      </c>
      <c r="G22" s="103" t="str">
        <f t="shared" si="0"/>
        <v>Existe requerimiento pero se requiere actividades  dirigidas a su mantenimiento dentro del marco de las lineas de defensa.</v>
      </c>
      <c r="H22" s="15"/>
      <c r="I22" s="117">
        <f t="shared" si="1"/>
        <v>1</v>
      </c>
      <c r="J22" s="289"/>
    </row>
    <row r="23" spans="1:10" ht="45" x14ac:dyDescent="0.25">
      <c r="A23" s="1"/>
      <c r="B23" s="1"/>
      <c r="C23" s="115">
        <v>5</v>
      </c>
      <c r="D23" s="307"/>
      <c r="E23" s="101" t="str">
        <f>+IFERROR(INDEX(Hoja1!$E$2:$E$45,MATCH('Análisis Resultados'!C23,Hoja1!$H$2:$H$45,0)),"")</f>
        <v>Un manual de funciones que describa los empleos de la entidad</v>
      </c>
      <c r="F23" s="102" t="str">
        <f>+IFERROR(VLOOKUP(C23,Hoja1!$H$2:$I$45,2,0),"")</f>
        <v>Si</v>
      </c>
      <c r="G23" s="103" t="str">
        <f t="shared" si="0"/>
        <v>Existe requerimiento pero se requiere actividades  dirigidas a su mantenimiento dentro del marco de las lineas de defensa.</v>
      </c>
      <c r="H23" s="15"/>
      <c r="I23" s="117">
        <f t="shared" si="1"/>
        <v>1</v>
      </c>
      <c r="J23" s="289"/>
    </row>
    <row r="24" spans="1:10" ht="45" x14ac:dyDescent="0.25">
      <c r="A24" s="1"/>
      <c r="B24" s="1"/>
      <c r="C24" s="115">
        <v>6</v>
      </c>
      <c r="D24" s="307"/>
      <c r="E24" s="101" t="str">
        <f>+IFERROR(INDEX(Hoja1!$E$2:$E$45,MATCH('Análisis Resultados'!C24,Hoja1!$H$2:$H$45,0)),"")</f>
        <v>La documentación de sus procesos y procedimientos o bien una lista de actividades principales que permitan conocer el estado de su gestión</v>
      </c>
      <c r="F24" s="102" t="str">
        <f>+IFERROR(VLOOKUP(C24,Hoja1!$H$2:$I$45,2,0),"")</f>
        <v>Si</v>
      </c>
      <c r="G24" s="103" t="str">
        <f t="shared" si="0"/>
        <v>Existe requerimiento pero se requiere actividades  dirigidas a su mantenimiento dentro del marco de las lineas de defensa.</v>
      </c>
      <c r="H24" s="15"/>
      <c r="I24" s="117">
        <f t="shared" si="1"/>
        <v>1</v>
      </c>
      <c r="J24" s="289"/>
    </row>
    <row r="25" spans="1:10" ht="45" x14ac:dyDescent="0.25">
      <c r="A25" s="1"/>
      <c r="B25" s="1"/>
      <c r="C25" s="115">
        <v>7</v>
      </c>
      <c r="D25" s="307"/>
      <c r="E25" s="101" t="str">
        <f>+IFERROR(INDEX(Hoja1!$E$2:$E$45,MATCH('Análisis Resultados'!C25,Hoja1!$H$2:$H$45,0)),"")</f>
        <v>Vinculación de los servidores públicos de acuerdo con el marco normativo que les rige (carrera administrativa, libre nombramiento y remoción, entre otros)</v>
      </c>
      <c r="F25" s="102" t="str">
        <f>+IFERROR(VLOOKUP(C25,Hoja1!$H$2:$I$45,2,0),"")</f>
        <v>Si</v>
      </c>
      <c r="G25" s="103" t="str">
        <f t="shared" si="0"/>
        <v>Existe requerimiento pero se requiere actividades  dirigidas a su mantenimiento dentro del marco de las lineas de defensa.</v>
      </c>
      <c r="H25" s="15"/>
      <c r="I25" s="117">
        <f t="shared" si="1"/>
        <v>1</v>
      </c>
      <c r="J25" s="289"/>
    </row>
    <row r="26" spans="1:10" ht="45" x14ac:dyDescent="0.25">
      <c r="A26" s="1"/>
      <c r="B26" s="1"/>
      <c r="C26" s="115">
        <v>8</v>
      </c>
      <c r="D26" s="307"/>
      <c r="E26" s="101" t="str">
        <f>+IFERROR(INDEX(Hoja1!$E$2:$E$45,MATCH('Análisis Resultados'!C26,Hoja1!$H$2:$H$45,0)),"")</f>
        <v>Procesos de inducción, capacitación y bienestar social para sus servidores públicos, de manera directa o en asociación con otras entidades municipales</v>
      </c>
      <c r="F26" s="102" t="str">
        <f>+IFERROR(VLOOKUP(C26,Hoja1!$H$2:$I$45,2,0),"")</f>
        <v>Si</v>
      </c>
      <c r="G26" s="103" t="str">
        <f t="shared" si="0"/>
        <v>Existe requerimiento pero se requiere actividades  dirigidas a su mantenimiento dentro del marco de las lineas de defensa.</v>
      </c>
      <c r="H26" s="15"/>
      <c r="I26" s="117">
        <f t="shared" si="1"/>
        <v>1</v>
      </c>
      <c r="J26" s="289"/>
    </row>
    <row r="27" spans="1:10" ht="45" x14ac:dyDescent="0.25">
      <c r="A27" s="1"/>
      <c r="B27" s="1"/>
      <c r="C27" s="115">
        <v>9</v>
      </c>
      <c r="D27" s="307"/>
      <c r="E27" s="101" t="str">
        <f>+IFERROR(INDEX(Hoja1!$E$2:$E$45,MATCH('Análisis Resultados'!C27,Hoja1!$H$2:$H$45,0)),"")</f>
        <v>Evaluación a los servidores públicos de acuerdo con el marco normativo que le rige</v>
      </c>
      <c r="F27" s="102" t="str">
        <f>+IFERROR(VLOOKUP(C27,Hoja1!$H$2:$I$45,2,0),"")</f>
        <v>Si</v>
      </c>
      <c r="G27" s="103" t="str">
        <f t="shared" si="0"/>
        <v>Existe requerimiento pero se requiere actividades  dirigidas a su mantenimiento dentro del marco de las lineas de defensa.</v>
      </c>
      <c r="H27" s="15"/>
      <c r="I27" s="117">
        <f t="shared" si="1"/>
        <v>1</v>
      </c>
      <c r="J27" s="289"/>
    </row>
    <row r="28" spans="1:10" ht="45" x14ac:dyDescent="0.25">
      <c r="A28" s="1"/>
      <c r="B28" s="1"/>
      <c r="C28" s="115">
        <v>10</v>
      </c>
      <c r="D28" s="307"/>
      <c r="E28" s="101" t="str">
        <f>+IFERROR(INDEX(Hoja1!$E$2:$E$45,MATCH('Análisis Resultados'!C28,Hoja1!$H$2:$H$45,0)),"")</f>
        <v>Procesos de desvinculación de servidores de acuerdo con lo previsto en la Constitución Política y las leyes</v>
      </c>
      <c r="F28" s="102" t="str">
        <f>+IFERROR(VLOOKUP(C28,Hoja1!$H$2:$I$45,2,0),"")</f>
        <v>Si</v>
      </c>
      <c r="G28" s="103" t="str">
        <f t="shared" si="0"/>
        <v>Existe requerimiento pero se requiere actividades  dirigidas a su mantenimiento dentro del marco de las lineas de defensa.</v>
      </c>
      <c r="H28" s="15"/>
      <c r="I28" s="117">
        <f t="shared" si="1"/>
        <v>1</v>
      </c>
      <c r="J28" s="289"/>
    </row>
    <row r="29" spans="1:10" ht="45" x14ac:dyDescent="0.25">
      <c r="A29" s="1"/>
      <c r="B29" s="1"/>
      <c r="C29" s="115">
        <v>11</v>
      </c>
      <c r="D29" s="307"/>
      <c r="E29" s="101" t="str">
        <f>+IFERROR(INDEX(Hoja1!$E$2:$E$45,MATCH('Análisis Resultados'!C29,Hoja1!$H$2:$H$45,0)),"")</f>
        <v>Mecanismos de rendición de cuentas a la ciudadanía</v>
      </c>
      <c r="F29" s="102" t="str">
        <f>+IFERROR(VLOOKUP(C29,Hoja1!$H$2:$I$45,2,0),"")</f>
        <v>Si</v>
      </c>
      <c r="G29" s="103"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5"/>
      <c r="I29" s="117">
        <f t="shared" si="1"/>
        <v>1</v>
      </c>
      <c r="J29" s="289"/>
    </row>
    <row r="30" spans="1:10" ht="45.75" thickBot="1" x14ac:dyDescent="0.3">
      <c r="A30" s="1"/>
      <c r="B30" s="1"/>
      <c r="C30" s="115">
        <v>12</v>
      </c>
      <c r="D30" s="308"/>
      <c r="E30" s="104" t="str">
        <f>+IFERROR(INDEX(Hoja1!$E$2:$E$45,MATCH('Análisis Resultados'!C30,Hoja1!$H$2:$H$45,0)),"")</f>
        <v>Presentación oportuna de sus informes de gestión a las autoridades competentes</v>
      </c>
      <c r="F30" s="105" t="str">
        <f>+IFERROR(VLOOKUP(C30,Hoja1!$H$2:$I$45,2,0),"")</f>
        <v>Si</v>
      </c>
      <c r="G30" s="106" t="str">
        <f t="shared" si="0"/>
        <v>Existe requerimiento pero se requiere actividades  dirigidas a su mantenimiento dentro del marco de las lineas de defensa.</v>
      </c>
      <c r="H30" s="15"/>
      <c r="I30" s="118">
        <f t="shared" si="1"/>
        <v>1</v>
      </c>
      <c r="J30" s="290"/>
    </row>
    <row r="31" spans="1:10" ht="45" customHeight="1" x14ac:dyDescent="0.25">
      <c r="A31" s="1"/>
      <c r="B31" s="1"/>
      <c r="C31" s="115">
        <v>13</v>
      </c>
      <c r="D31" s="302" t="s">
        <v>60</v>
      </c>
      <c r="E31" s="98" t="str">
        <f>+IFERROR(INDEX(Hoja1!$E$2:$E$45,MATCH('Análisis Resultados'!C31,Hoja1!$H$2:$H$45,0)),"")</f>
        <v>La identificación de cambios en su entorno que pueden generar consecuencias negativas en su gestión</v>
      </c>
      <c r="F31" s="99" t="str">
        <f>+IFERROR(VLOOKUP(C31,Hoja1!$H$2:$I$45,2,0),"")</f>
        <v>En proceso</v>
      </c>
      <c r="G31" s="100" t="str">
        <f t="shared" si="0"/>
        <v>Se encuentra en proceso, pero requiere continuar con acciones dirigidas a contar con dicho aspecto de control.</v>
      </c>
      <c r="H31" s="15"/>
      <c r="I31" s="116">
        <f t="shared" si="1"/>
        <v>0.5</v>
      </c>
      <c r="J31" s="286">
        <f>+AVERAGE(I31:I40)</f>
        <v>0.9</v>
      </c>
    </row>
    <row r="32" spans="1:10" ht="57" customHeight="1" x14ac:dyDescent="0.25">
      <c r="A32" s="1"/>
      <c r="B32" s="1"/>
      <c r="C32" s="115">
        <v>14</v>
      </c>
      <c r="D32" s="303"/>
      <c r="E32" s="101" t="str">
        <f>+IFERROR(INDEX(Hoja1!$E$2:$E$45,MATCH('Análisis Resultados'!C32,Hoja1!$H$2:$H$45,0)),"")</f>
        <v>La identificación de aquellos problemas o aspectos que pueden afectar el cumplimiento de los planes de la entidad y en general su gestión institucional (riesgos)</v>
      </c>
      <c r="F32" s="102" t="str">
        <f>+IFERROR(VLOOKUP(C32,Hoja1!$H$2:$I$45,2,0),"")</f>
        <v>En proceso</v>
      </c>
      <c r="G32" s="103" t="str">
        <f t="shared" si="0"/>
        <v>Se encuentra en proceso, pero requiere continuar con acciones dirigidas a contar con dicho aspecto de control.</v>
      </c>
      <c r="H32" s="15"/>
      <c r="I32" s="117">
        <f t="shared" si="1"/>
        <v>0.5</v>
      </c>
      <c r="J32" s="287"/>
    </row>
    <row r="33" spans="1:10" ht="54" customHeight="1" x14ac:dyDescent="0.25">
      <c r="A33" s="1"/>
      <c r="B33" s="1"/>
      <c r="C33" s="115">
        <v>15</v>
      </c>
      <c r="D33" s="303"/>
      <c r="E33" s="101" t="str">
        <f>+IFERROR(INDEX(Hoja1!$E$2:$E$45,MATCH('Análisis Resultados'!C33,Hoja1!$H$2:$H$45,0)),"")</f>
        <v>La identificación  de los riesgos relacionados con posibles actos de corrupción en el ejercicio de sus funciones</v>
      </c>
      <c r="F33" s="102" t="str">
        <f>+IFERROR(VLOOKUP(C33,Hoja1!$H$2:$I$45,2,0),"")</f>
        <v>Si</v>
      </c>
      <c r="G33" s="103" t="str">
        <f t="shared" si="0"/>
        <v>Existe requerimiento pero se requiere actividades  dirigidas a su mantenimiento dentro del marco de las lineas de defensa.</v>
      </c>
      <c r="H33" s="15"/>
      <c r="I33" s="117">
        <f t="shared" si="1"/>
        <v>1</v>
      </c>
      <c r="J33" s="287"/>
    </row>
    <row r="34" spans="1:10" ht="45" x14ac:dyDescent="0.25">
      <c r="A34" s="1"/>
      <c r="B34" s="1"/>
      <c r="C34" s="115">
        <v>16</v>
      </c>
      <c r="D34" s="303"/>
      <c r="E34" s="101" t="str">
        <f>+IFERROR(INDEX(Hoja1!$E$2:$E$45,MATCH('Análisis Resultados'!C34,Hoja1!$H$2:$H$45,0)),"")</f>
        <v>Si su capacidad e infraestructura lo permite, identificación de riesgos asociados a las tecnologías de la información y las comunicaciones</v>
      </c>
      <c r="F34" s="102" t="str">
        <f>+IFERROR(VLOOKUP(C34,Hoja1!$H$2:$I$45,2,0),"")</f>
        <v>Si</v>
      </c>
      <c r="G34" s="103" t="str">
        <f t="shared" si="0"/>
        <v>Existe requerimiento pero se requiere actividades  dirigidas a su mantenimiento dentro del marco de las lineas de defensa.</v>
      </c>
      <c r="H34" s="15"/>
      <c r="I34" s="117">
        <f t="shared" si="1"/>
        <v>1</v>
      </c>
      <c r="J34" s="287"/>
    </row>
    <row r="35" spans="1:10" ht="67.5" customHeight="1" x14ac:dyDescent="0.25">
      <c r="A35" s="1"/>
      <c r="B35" s="1"/>
      <c r="C35" s="115">
        <v>17</v>
      </c>
      <c r="D35" s="303"/>
      <c r="E35" s="101" t="str">
        <f>+IFERROR(INDEX(Hoja1!$E$2:$E$45,MATCH('Análisis Resultados'!C35,Hoja1!$H$2:$H$45,0)),"")</f>
        <v>Hacen seguimiento a los problemas (riesgos)  que pueden afectar el cumplimiento de sus procesos, programas o proyectos a cargo</v>
      </c>
      <c r="F35" s="102" t="str">
        <f>+IFERROR(VLOOKUP(C35,Hoja1!$H$2:$I$45,2,0),"")</f>
        <v>Si</v>
      </c>
      <c r="G35" s="103" t="str">
        <f t="shared" si="0"/>
        <v>Existe requerimiento pero se requiere actividades  dirigidas a su mantenimiento dentro del marco de las lineas de defensa.</v>
      </c>
      <c r="H35" s="15"/>
      <c r="I35" s="117">
        <f t="shared" si="1"/>
        <v>1</v>
      </c>
      <c r="J35" s="287"/>
    </row>
    <row r="36" spans="1:10" ht="45" x14ac:dyDescent="0.25">
      <c r="A36" s="1"/>
      <c r="B36" s="1"/>
      <c r="C36" s="115">
        <v>18</v>
      </c>
      <c r="D36" s="303"/>
      <c r="E36" s="101" t="str">
        <f>+IFERROR(INDEX(Hoja1!$E$2:$E$45,MATCH('Análisis Resultados'!C36,Hoja1!$H$2:$H$45,0)),"")</f>
        <v>Informan de manera periódica a quien corresponda sobre el desempeño de las actividades de gestión de riesgos</v>
      </c>
      <c r="F36" s="102" t="str">
        <f>+IFERROR(VLOOKUP(C36,Hoja1!$H$2:$I$45,2,0),"")</f>
        <v>Si</v>
      </c>
      <c r="G36" s="103" t="str">
        <f t="shared" si="0"/>
        <v>Existe requerimiento pero se requiere actividades  dirigidas a su mantenimiento dentro del marco de las lineas de defensa.</v>
      </c>
      <c r="H36" s="15"/>
      <c r="I36" s="117">
        <f t="shared" si="1"/>
        <v>1</v>
      </c>
      <c r="J36" s="287"/>
    </row>
    <row r="37" spans="1:10" ht="57" customHeight="1" x14ac:dyDescent="0.25">
      <c r="A37" s="1"/>
      <c r="B37" s="1"/>
      <c r="C37" s="115">
        <v>19</v>
      </c>
      <c r="D37" s="303"/>
      <c r="E37" s="101" t="str">
        <f>+IFERROR(INDEX(Hoja1!$E$2:$E$45,MATCH('Análisis Resultados'!C37,Hoja1!$H$2:$H$45,0)),"")</f>
        <v>Identifican deficiencias en las maneras de  controlar los riesgos o problemas en sus procesos, programas o proyectos, y propone los ajustes necesarios</v>
      </c>
      <c r="F37" s="102" t="str">
        <f>+IFERROR(VLOOKUP(C37,Hoja1!$H$2:$I$45,2,0),"")</f>
        <v>Si</v>
      </c>
      <c r="G37" s="103" t="str">
        <f t="shared" si="0"/>
        <v>Existe requerimiento pero se requiere actividades  dirigidas a su mantenimiento dentro del marco de las lineas de defensa.</v>
      </c>
      <c r="H37" s="15"/>
      <c r="I37" s="117">
        <f t="shared" si="1"/>
        <v>1</v>
      </c>
      <c r="J37" s="287"/>
    </row>
    <row r="38" spans="1:10" ht="45" x14ac:dyDescent="0.25">
      <c r="A38" s="1"/>
      <c r="B38" s="1"/>
      <c r="C38" s="115">
        <v>20</v>
      </c>
      <c r="D38" s="303"/>
      <c r="E38" s="101" t="str">
        <f>+IFERROR(INDEX(Hoja1!$E$2:$E$45,MATCH('Análisis Resultados'!C38,Hoja1!$H$2:$H$45,0)),"")</f>
        <v>Se definen espacios de reunión para conocerlos y proponer acciones para su solución</v>
      </c>
      <c r="F38" s="102" t="str">
        <f>+IFERROR(VLOOKUP(C38,Hoja1!$H$2:$I$45,2,0),"")</f>
        <v>Si</v>
      </c>
      <c r="G38" s="103" t="str">
        <f t="shared" si="0"/>
        <v>Existe requerimiento pero se requiere actividades  dirigidas a su mantenimiento dentro del marco de las lineas de defensa.</v>
      </c>
      <c r="H38" s="15"/>
      <c r="I38" s="117">
        <f t="shared" si="1"/>
        <v>1</v>
      </c>
      <c r="J38" s="287"/>
    </row>
    <row r="39" spans="1:10" ht="45" x14ac:dyDescent="0.25">
      <c r="A39" s="1"/>
      <c r="B39" s="1"/>
      <c r="C39" s="115">
        <v>21</v>
      </c>
      <c r="D39" s="303"/>
      <c r="E39" s="101" t="str">
        <f>+IFERROR(INDEX(Hoja1!$E$2:$E$45,MATCH('Análisis Resultados'!C39,Hoja1!$H$2:$H$45,0)),"")</f>
        <v>Cada líder del equipo autónomamente toma las acciones para solucionarlos.</v>
      </c>
      <c r="F39" s="102" t="str">
        <f>+IFERROR(VLOOKUP(C39,Hoja1!$H$2:$I$45,2,0),"")</f>
        <v>Si</v>
      </c>
      <c r="G39" s="103" t="str">
        <f t="shared" si="0"/>
        <v>Existe requerimiento pero se requiere actividades  dirigidas a su mantenimiento dentro del marco de las lineas de defensa.</v>
      </c>
      <c r="H39" s="15"/>
      <c r="I39" s="117">
        <f t="shared" si="1"/>
        <v>1</v>
      </c>
      <c r="J39" s="287"/>
    </row>
    <row r="40" spans="1:10" ht="45.75" thickBot="1" x14ac:dyDescent="0.3">
      <c r="A40" s="1"/>
      <c r="B40" s="1"/>
      <c r="C40" s="115">
        <v>22</v>
      </c>
      <c r="D40" s="303"/>
      <c r="E40" s="107" t="str">
        <f>+IFERROR(INDEX(Hoja1!$E$2:$E$45,MATCH('Análisis Resultados'!C40,Hoja1!$H$2:$H$45,0)),"")</f>
        <v>Solamente hasta que un organismo de control actúa se definen acciones de mejora.</v>
      </c>
      <c r="F40" s="108" t="str">
        <f>+IFERROR(VLOOKUP(C40,Hoja1!$H$2:$I$45,2,0),"")</f>
        <v>Si</v>
      </c>
      <c r="G40" s="109" t="str">
        <f t="shared" si="0"/>
        <v>Existe requerimiento pero se requiere actividades  dirigidas a su mantenimiento dentro del marco de las lineas de defensa.</v>
      </c>
      <c r="H40" s="15"/>
      <c r="I40" s="119">
        <f t="shared" si="1"/>
        <v>1</v>
      </c>
      <c r="J40" s="287"/>
    </row>
    <row r="41" spans="1:10" ht="87.75" customHeight="1" x14ac:dyDescent="0.25">
      <c r="A41" s="1"/>
      <c r="B41" s="1"/>
      <c r="C41" s="115">
        <v>23</v>
      </c>
      <c r="D41" s="298" t="s">
        <v>78</v>
      </c>
      <c r="E41" s="98" t="str">
        <f>+IFERROR(INDEX(Hoja1!$E$2:$E$45,MATCH('Análisis Resultados'!C41,Hoja1!$H$2:$H$45,0)),"")</f>
        <v>La definición de acciones o actividades para para dar tratamiento a los problemas identificados (mitigación de riesgos), incluyendo aquellos asociados a posibles actos de corrupción</v>
      </c>
      <c r="F41" s="99" t="str">
        <f>+IFERROR(VLOOKUP(C41,Hoja1!$H$2:$I$45,2,0),"")</f>
        <v>Si</v>
      </c>
      <c r="G41" s="100" t="str">
        <f t="shared" si="0"/>
        <v>Existe requerimiento pero se requiere actividades  dirigidas a su mantenimiento dentro del marco de las lineas de defensa.</v>
      </c>
      <c r="H41" s="15"/>
      <c r="I41" s="116">
        <f t="shared" si="1"/>
        <v>1</v>
      </c>
      <c r="J41" s="286">
        <f>+AVERAGE(I41:I45)</f>
        <v>1</v>
      </c>
    </row>
    <row r="42" spans="1:10" ht="57" x14ac:dyDescent="0.25">
      <c r="A42" s="1"/>
      <c r="B42" s="1"/>
      <c r="C42" s="115">
        <v>24</v>
      </c>
      <c r="D42" s="299"/>
      <c r="E42" s="101" t="str">
        <f>+IFERROR(INDEX(Hoja1!$E$2:$E$45,MATCH('Análisis Resultados'!C42,Hoja1!$H$2:$H$45,0)),"")</f>
        <v>Mecanismos de verificación de si se están o no mitigando los riesgos, o en su defecto, elaboración de planes de contingencia para subsanar sus consecuencias</v>
      </c>
      <c r="F42" s="102" t="str">
        <f>+IFERROR(VLOOKUP(C42,Hoja1!$H$2:$I$45,2,0),"")</f>
        <v>Si</v>
      </c>
      <c r="G42" s="103" t="str">
        <f t="shared" si="0"/>
        <v>Existe requerimiento pero se requiere actividades  dirigidas a su mantenimiento dentro del marco de las lineas de defensa.</v>
      </c>
      <c r="H42" s="15"/>
      <c r="I42" s="117">
        <f t="shared" si="1"/>
        <v>1</v>
      </c>
      <c r="J42" s="287"/>
    </row>
    <row r="43" spans="1:10" ht="85.5" customHeight="1" x14ac:dyDescent="0.25">
      <c r="A43" s="1"/>
      <c r="B43" s="1"/>
      <c r="C43" s="115">
        <v>25</v>
      </c>
      <c r="D43" s="299"/>
      <c r="E43" s="101" t="str">
        <f>+IFERROR(INDEX(Hoja1!$E$2:$E$45,MATCH('Análisis Resultados'!C43,Hoja1!$H$2:$H$45,0)),"")</f>
        <v>Planes, acciones o estrategias que permitan subsanar las consecuencias de la materialización de los riesgos, cuando se presentan</v>
      </c>
      <c r="F43" s="102" t="str">
        <f>+IFERROR(VLOOKUP(C43,Hoja1!$H$2:$I$45,2,0),"")</f>
        <v>Si</v>
      </c>
      <c r="G43" s="103" t="str">
        <f t="shared" si="0"/>
        <v>Existe requerimiento pero se requiere actividades  dirigidas a su mantenimiento dentro del marco de las lineas de defensa.</v>
      </c>
      <c r="H43" s="15"/>
      <c r="I43" s="117">
        <f t="shared" si="1"/>
        <v>1</v>
      </c>
      <c r="J43" s="287"/>
    </row>
    <row r="44" spans="1:10" ht="57" customHeight="1" x14ac:dyDescent="0.25">
      <c r="A44" s="1"/>
      <c r="B44" s="1"/>
      <c r="C44" s="115">
        <v>26</v>
      </c>
      <c r="D44" s="299"/>
      <c r="E44" s="101"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02" t="str">
        <f>+IFERROR(VLOOKUP(C44,Hoja1!$H$2:$I$45,2,0),"")</f>
        <v>Si</v>
      </c>
      <c r="G44" s="103" t="str">
        <f t="shared" si="0"/>
        <v>Existe requerimiento pero se requiere actividades  dirigidas a su mantenimiento dentro del marco de las lineas de defensa.</v>
      </c>
      <c r="H44" s="15"/>
      <c r="I44" s="117">
        <f t="shared" si="1"/>
        <v>1</v>
      </c>
      <c r="J44" s="287"/>
    </row>
    <row r="45" spans="1:10" ht="57" customHeight="1" thickBot="1" x14ac:dyDescent="0.3">
      <c r="A45" s="1"/>
      <c r="B45" s="1"/>
      <c r="C45" s="115">
        <v>27</v>
      </c>
      <c r="D45" s="300"/>
      <c r="E45" s="104" t="str">
        <f>+IFERROR(INDEX(Hoja1!$E$2:$E$45,MATCH('Análisis Resultados'!C45,Hoja1!$H$2:$H$45,0)),"")</f>
        <v>Un plan anticorrupción y de servicio al ciudadano con los temas que le aplican, publicado en algún medio para conocimiento de la ciudadanía</v>
      </c>
      <c r="F45" s="105" t="str">
        <f>+IFERROR(VLOOKUP(C45,Hoja1!$H$2:$I$45,2,0),"")</f>
        <v>Si</v>
      </c>
      <c r="G45" s="106" t="str">
        <f t="shared" si="0"/>
        <v>Existe requerimiento pero se requiere actividades  dirigidas a su mantenimiento dentro del marco de las lineas de defensa.</v>
      </c>
      <c r="H45" s="15"/>
      <c r="I45" s="118">
        <f t="shared" si="1"/>
        <v>1</v>
      </c>
      <c r="J45" s="301"/>
    </row>
    <row r="46" spans="1:10" ht="63.75" customHeight="1" x14ac:dyDescent="0.25">
      <c r="A46" s="1"/>
      <c r="B46" s="1"/>
      <c r="C46" s="115">
        <v>28</v>
      </c>
      <c r="D46" s="297" t="s">
        <v>86</v>
      </c>
      <c r="E46" s="110" t="str">
        <f>+IFERROR(INDEX(Hoja1!$E$2:$E$45,MATCH('Análisis Resultados'!C46,Hoja1!$H$2:$H$45,0)),"")</f>
        <v>Responsables de la información institucional</v>
      </c>
      <c r="F46" s="111" t="str">
        <f>+IFERROR(VLOOKUP(C46,Hoja1!$H$2:$I$45,2,0),"")</f>
        <v>Si</v>
      </c>
      <c r="G46" s="112" t="str">
        <f t="shared" si="0"/>
        <v>Existe requerimiento pero se requiere actividades  dirigidas a su mantenimiento dentro del marco de las lineas de defensa.</v>
      </c>
      <c r="H46" s="15"/>
      <c r="I46" s="120">
        <f t="shared" si="1"/>
        <v>1</v>
      </c>
      <c r="J46" s="287">
        <f>+AVERAGE(I46:I52)</f>
        <v>1</v>
      </c>
    </row>
    <row r="47" spans="1:10" ht="92.25" customHeight="1" x14ac:dyDescent="0.25">
      <c r="A47" s="1"/>
      <c r="B47" s="1"/>
      <c r="C47" s="115">
        <v>29</v>
      </c>
      <c r="D47" s="297"/>
      <c r="E47" s="101" t="str">
        <f>+IFERROR(INDEX(Hoja1!$E$2:$E$45,MATCH('Análisis Resultados'!C47,Hoja1!$H$2:$H$45,0)),"")</f>
        <v>Canales de comunicación con los ciudadanos</v>
      </c>
      <c r="F47" s="102" t="str">
        <f>+IFERROR(VLOOKUP(C47,Hoja1!$H$2:$I$45,2,0),"")</f>
        <v>Si</v>
      </c>
      <c r="G47" s="113" t="str">
        <f t="shared" si="0"/>
        <v>Existe requerimiento pero se requiere actividades  dirigidas a su mantenimiento dentro del marco de las lineas de defensa.</v>
      </c>
      <c r="H47" s="15"/>
      <c r="I47" s="121">
        <f t="shared" si="1"/>
        <v>1</v>
      </c>
      <c r="J47" s="287"/>
    </row>
    <row r="48" spans="1:10" ht="66.75" customHeight="1" x14ac:dyDescent="0.25">
      <c r="A48" s="1"/>
      <c r="B48" s="1"/>
      <c r="C48" s="115">
        <v>30</v>
      </c>
      <c r="D48" s="297"/>
      <c r="E48" s="101" t="str">
        <f>+IFERROR(INDEX(Hoja1!$E$2:$E$45,MATCH('Análisis Resultados'!C48,Hoja1!$H$2:$H$45,0)),"")</f>
        <v>Canales de comunicación o mecanismos de reporte de información a otros organismos gubernamentales o de control</v>
      </c>
      <c r="F48" s="102" t="str">
        <f>+IFERROR(VLOOKUP(C48,Hoja1!$H$2:$I$45,2,0),"")</f>
        <v>Si</v>
      </c>
      <c r="G48" s="113" t="str">
        <f t="shared" si="0"/>
        <v>Existe requerimiento pero se requiere actividades  dirigidas a su mantenimiento dentro del marco de las lineas de defensa.</v>
      </c>
      <c r="H48" s="15"/>
      <c r="I48" s="121">
        <f t="shared" si="1"/>
        <v>1</v>
      </c>
      <c r="J48" s="287"/>
    </row>
    <row r="49" spans="1:10" ht="60" customHeight="1" x14ac:dyDescent="0.25">
      <c r="A49" s="1"/>
      <c r="B49" s="1"/>
      <c r="C49" s="115">
        <v>31</v>
      </c>
      <c r="D49" s="297"/>
      <c r="E49" s="101" t="str">
        <f>+IFERROR(INDEX(Hoja1!$E$2:$E$45,MATCH('Análisis Resultados'!C49,Hoja1!$H$2:$H$45,0)),"")</f>
        <v xml:space="preserve">Lineamientos para dar tratamiento a la información de carácter reservado </v>
      </c>
      <c r="F49" s="102" t="str">
        <f>+IFERROR(VLOOKUP(C49,Hoja1!$H$2:$I$45,2,0),"")</f>
        <v>Si</v>
      </c>
      <c r="G49" s="113" t="str">
        <f t="shared" si="0"/>
        <v>Existe requerimiento pero se requiere actividades  dirigidas a su mantenimiento dentro del marco de las lineas de defensa.</v>
      </c>
      <c r="H49" s="15"/>
      <c r="I49" s="121">
        <f t="shared" si="1"/>
        <v>1</v>
      </c>
      <c r="J49" s="287"/>
    </row>
    <row r="50" spans="1:10" ht="57" customHeight="1" x14ac:dyDescent="0.25">
      <c r="A50" s="1"/>
      <c r="B50" s="1"/>
      <c r="C50" s="115">
        <v>32</v>
      </c>
      <c r="D50" s="297"/>
      <c r="E50" s="101" t="str">
        <f>+IFERROR(INDEX(Hoja1!$E$2:$E$45,MATCH('Análisis Resultados'!C50,Hoja1!$H$2:$H$45,0)),"")</f>
        <v>Identificación de información que produce en el marco de su gestión (Para los ciudadanos, organismos de control, organismos gubernamentales, entre otros)</v>
      </c>
      <c r="F50" s="102" t="str">
        <f>+IFERROR(VLOOKUP(C50,Hoja1!$H$2:$I$45,2,0),"")</f>
        <v>Si</v>
      </c>
      <c r="G50" s="113" t="str">
        <f t="shared" si="0"/>
        <v>Existe requerimiento pero se requiere actividades  dirigidas a su mantenimiento dentro del marco de las lineas de defensa.</v>
      </c>
      <c r="H50" s="15"/>
      <c r="I50" s="121">
        <f t="shared" si="1"/>
        <v>1</v>
      </c>
      <c r="J50" s="287"/>
    </row>
    <row r="51" spans="1:10" ht="57" customHeight="1" x14ac:dyDescent="0.25">
      <c r="A51" s="1"/>
      <c r="B51" s="1"/>
      <c r="C51" s="115">
        <v>33</v>
      </c>
      <c r="D51" s="297"/>
      <c r="E51" s="101" t="str">
        <f>+IFERROR(INDEX(Hoja1!$E$2:$E$45,MATCH('Análisis Resultados'!C51,Hoja1!$H$2:$H$45,0)),"")</f>
        <v>Identificación de información necesaria para la operación de la entidad (normograma, presupuesto, talento humano, infraestructura física y tecnológica)</v>
      </c>
      <c r="F51" s="102" t="str">
        <f>+IFERROR(VLOOKUP(C51,Hoja1!$H$2:$I$45,2,0),"")</f>
        <v>Si</v>
      </c>
      <c r="G51" s="113" t="str">
        <f t="shared" si="0"/>
        <v>Existe requerimiento pero se requiere actividades  dirigidas a su mantenimiento dentro del marco de las lineas de defensa.</v>
      </c>
      <c r="H51" s="15"/>
      <c r="I51" s="121">
        <f t="shared" si="1"/>
        <v>1</v>
      </c>
      <c r="J51" s="287"/>
    </row>
    <row r="52" spans="1:10" ht="45.75" thickBot="1" x14ac:dyDescent="0.3">
      <c r="A52" s="1"/>
      <c r="B52" s="1"/>
      <c r="C52" s="115">
        <v>34</v>
      </c>
      <c r="D52" s="297"/>
      <c r="E52" s="107" t="str">
        <f>+IFERROR(INDEX(Hoja1!$E$2:$E$45,MATCH('Análisis Resultados'!C52,Hoja1!$H$2:$H$45,0)),"")</f>
        <v>Si su capacidad e infraestructura lo permite, tecnologías de la información y las comunicaciones que soporten estos procesos</v>
      </c>
      <c r="F52" s="108" t="str">
        <f>+IFERROR(VLOOKUP(C52,Hoja1!$H$2:$I$45,2,0),"")</f>
        <v>Si</v>
      </c>
      <c r="G52" s="114" t="str">
        <f t="shared" si="0"/>
        <v>Existe requerimiento pero se requiere actividades  dirigidas a su mantenimiento dentro del marco de las lineas de defensa.</v>
      </c>
      <c r="H52" s="15"/>
      <c r="I52" s="122">
        <f t="shared" si="1"/>
        <v>1</v>
      </c>
      <c r="J52" s="287"/>
    </row>
    <row r="53" spans="1:10" ht="41.25" customHeight="1" x14ac:dyDescent="0.25">
      <c r="A53" s="1"/>
      <c r="B53" s="1"/>
      <c r="C53" s="115">
        <v>35</v>
      </c>
      <c r="D53" s="291" t="s">
        <v>96</v>
      </c>
      <c r="E53" s="98" t="str">
        <f>+IFERROR(INDEX(Hoja1!$E$2:$E$45,MATCH('Análisis Resultados'!C53,Hoja1!$H$2:$H$45,0)),"")</f>
        <v>Mecanismos de evaluación de la gestión (cronogramas, indicadores, listas de chequeo u otros)</v>
      </c>
      <c r="F53" s="99" t="str">
        <f>+IFERROR(VLOOKUP(C53,Hoja1!$H$2:$I$45,2,0),"")</f>
        <v>Si</v>
      </c>
      <c r="G53" s="100" t="str">
        <f t="shared" si="0"/>
        <v>Existe requerimiento pero se requiere actividades  dirigidas a su mantenimiento dentro del marco de las lineas de defensa.</v>
      </c>
      <c r="H53" s="15"/>
      <c r="I53" s="116">
        <f t="shared" si="1"/>
        <v>1</v>
      </c>
      <c r="J53" s="294">
        <f>+AVERAGE(I53:I62)</f>
        <v>1</v>
      </c>
    </row>
    <row r="54" spans="1:10" ht="58.5" customHeight="1" x14ac:dyDescent="0.25">
      <c r="A54" s="1"/>
      <c r="B54" s="1"/>
      <c r="C54" s="115">
        <v>36</v>
      </c>
      <c r="D54" s="292"/>
      <c r="E54" s="101"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02" t="str">
        <f>+IFERROR(VLOOKUP(C54,Hoja1!$H$2:$I$45,2,0),"")</f>
        <v>Si</v>
      </c>
      <c r="G54" s="103" t="str">
        <f t="shared" si="0"/>
        <v>Existe requerimiento pero se requiere actividades  dirigidas a su mantenimiento dentro del marco de las lineas de defensa.</v>
      </c>
      <c r="H54" s="15"/>
      <c r="I54" s="117">
        <f t="shared" si="1"/>
        <v>1</v>
      </c>
      <c r="J54" s="295"/>
    </row>
    <row r="55" spans="1:10" s="1" customFormat="1" ht="84.75" customHeight="1" x14ac:dyDescent="0.25">
      <c r="C55" s="115">
        <v>37</v>
      </c>
      <c r="D55" s="292"/>
      <c r="E55" s="101" t="str">
        <f>+IFERROR(INDEX(Hoja1!$E$2:$E$45,MATCH('Análisis Resultados'!C55,Hoja1!$H$2:$H$45,0)),"")</f>
        <v>Medidas correctivas en caso de detectarse deficiencias en los ejercicios de evaluación, seguimiento o auditoría</v>
      </c>
      <c r="F55" s="102" t="str">
        <f>+IFERROR(VLOOKUP(C55,Hoja1!$H$2:$I$45,2,0),"")</f>
        <v>Si</v>
      </c>
      <c r="G55" s="103" t="str">
        <f t="shared" si="0"/>
        <v>Existe requerimiento pero se requiere actividades  dirigidas a su mantenimiento dentro del marco de las lineas de defensa.</v>
      </c>
      <c r="H55" s="3"/>
      <c r="I55" s="117">
        <f t="shared" si="1"/>
        <v>1</v>
      </c>
      <c r="J55" s="295"/>
    </row>
    <row r="56" spans="1:10" s="1" customFormat="1" ht="78.75" customHeight="1" x14ac:dyDescent="0.25">
      <c r="C56" s="115">
        <v>38</v>
      </c>
      <c r="D56" s="292"/>
      <c r="E56" s="101" t="str">
        <f>+IFERROR(INDEX(Hoja1!$E$2:$E$45,MATCH('Análisis Resultados'!C56,Hoja1!$H$2:$H$45,0)),"")</f>
        <v>Seguimiento a los planes de mejoramiento suscritos con instancias de control internas o externas</v>
      </c>
      <c r="F56" s="102" t="str">
        <f>+IFERROR(VLOOKUP(C56,Hoja1!$H$2:$I$45,2,0),"")</f>
        <v>Si</v>
      </c>
      <c r="G56" s="103" t="str">
        <f t="shared" si="0"/>
        <v>Existe requerimiento pero se requiere actividades  dirigidas a su mantenimiento dentro del marco de las lineas de defensa.</v>
      </c>
      <c r="H56" s="3"/>
      <c r="I56" s="117">
        <f t="shared" si="1"/>
        <v>1</v>
      </c>
      <c r="J56" s="295"/>
    </row>
    <row r="57" spans="1:10" s="1" customFormat="1" ht="54.75" customHeight="1" x14ac:dyDescent="0.25">
      <c r="C57" s="115">
        <v>39</v>
      </c>
      <c r="D57" s="292"/>
      <c r="E57" s="101" t="str">
        <f>+IFERROR(INDEX(Hoja1!$E$2:$E$45,MATCH('Análisis Resultados'!C57,Hoja1!$H$2:$H$45,0)),"")</f>
        <v>La entidad participa en el  Comité Municipal de Auditoría?</v>
      </c>
      <c r="F57" s="102" t="str">
        <f>+IFERROR(VLOOKUP(C57,Hoja1!$H$2:$I$45,2,0),"")</f>
        <v>Si</v>
      </c>
      <c r="G57" s="103" t="str">
        <f t="shared" si="0"/>
        <v>Existe requerimiento pero se requiere actividades  dirigidas a su mantenimiento dentro del marco de las lineas de defensa.</v>
      </c>
      <c r="H57" s="3"/>
      <c r="I57" s="117">
        <f t="shared" si="1"/>
        <v>1</v>
      </c>
      <c r="J57" s="295"/>
    </row>
    <row r="58" spans="1:10" s="1" customFormat="1" ht="68.25" customHeight="1" x14ac:dyDescent="0.25">
      <c r="C58" s="115">
        <v>40</v>
      </c>
      <c r="D58" s="292"/>
      <c r="E58" s="101" t="str">
        <f>+IFERROR(INDEX(Hoja1!$E$2:$E$45,MATCH('Análisis Resultados'!C58,Hoja1!$H$2:$H$45,0)),"")</f>
        <v>Evitar que los problemas (riesgos) obstaculicen el cumplimiento de los objetivos.</v>
      </c>
      <c r="F58" s="102" t="str">
        <f>+IFERROR(VLOOKUP(C58,Hoja1!$H$2:$I$45,2,0),"")</f>
        <v>Si</v>
      </c>
      <c r="G58" s="103" t="str">
        <f t="shared" si="0"/>
        <v>Existe requerimiento pero se requiere actividades  dirigidas a su mantenimiento dentro del marco de las lineas de defensa.</v>
      </c>
      <c r="H58" s="3"/>
      <c r="I58" s="117">
        <f t="shared" si="1"/>
        <v>1</v>
      </c>
      <c r="J58" s="295"/>
    </row>
    <row r="59" spans="1:10" s="1" customFormat="1" ht="45" customHeight="1" x14ac:dyDescent="0.25">
      <c r="C59" s="115">
        <v>41</v>
      </c>
      <c r="D59" s="292"/>
      <c r="E59" s="101" t="str">
        <f>+IFERROR(INDEX(Hoja1!$E$2:$E$45,MATCH('Análisis Resultados'!C59,Hoja1!$H$2:$H$45,0)),"")</f>
        <v>Controlar los puntos críticos en los procesos.</v>
      </c>
      <c r="F59" s="102" t="str">
        <f>+IFERROR(VLOOKUP(C59,Hoja1!$H$2:$I$45,2,0),"")</f>
        <v>Si</v>
      </c>
      <c r="G59" s="103" t="str">
        <f t="shared" si="0"/>
        <v>Existe requerimiento pero se requiere actividades  dirigidas a su mantenimiento dentro del marco de las lineas de defensa.</v>
      </c>
      <c r="H59" s="3"/>
      <c r="I59" s="117">
        <f t="shared" si="1"/>
        <v>1</v>
      </c>
      <c r="J59" s="295"/>
    </row>
    <row r="60" spans="1:10" s="1" customFormat="1" ht="51.75" customHeight="1" x14ac:dyDescent="0.25">
      <c r="C60" s="115">
        <v>42</v>
      </c>
      <c r="D60" s="292"/>
      <c r="E60" s="101" t="str">
        <f>+IFERROR(INDEX(Hoja1!$E$2:$E$45,MATCH('Análisis Resultados'!C60,Hoja1!$H$2:$H$45,0)),"")</f>
        <v>Diseñar acciones adecuadas para controlar los problemas que afectan el cumplimiento de las metas y objetivos institucionales (riesgos).</v>
      </c>
      <c r="F60" s="102" t="str">
        <f>+IFERROR(VLOOKUP(C60,Hoja1!$H$2:$I$45,2,0),"")</f>
        <v>Si</v>
      </c>
      <c r="G60" s="103" t="str">
        <f t="shared" si="0"/>
        <v>Existe requerimiento pero se requiere actividades  dirigidas a su mantenimiento dentro del marco de las lineas de defensa.</v>
      </c>
      <c r="H60" s="3"/>
      <c r="I60" s="117">
        <f t="shared" si="1"/>
        <v>1</v>
      </c>
      <c r="J60" s="295"/>
    </row>
    <row r="61" spans="1:10" s="1" customFormat="1" ht="84" customHeight="1" x14ac:dyDescent="0.25">
      <c r="C61" s="115">
        <v>43</v>
      </c>
      <c r="D61" s="292"/>
      <c r="E61" s="101" t="str">
        <f>+IFERROR(INDEX(Hoja1!$E$2:$E$45,MATCH('Análisis Resultados'!C61,Hoja1!$H$2:$H$45,0)),"")</f>
        <v>Ejecutar las acciones de acuerdo a como se diseñaron previamente.</v>
      </c>
      <c r="F61" s="102" t="str">
        <f>+IFERROR(VLOOKUP(C61,Hoja1!$H$2:$I$45,2,0),"")</f>
        <v>Si</v>
      </c>
      <c r="G61" s="103" t="str">
        <f t="shared" si="0"/>
        <v>Existe requerimiento pero se requiere actividades  dirigidas a su mantenimiento dentro del marco de las lineas de defensa.</v>
      </c>
      <c r="H61" s="3"/>
      <c r="I61" s="117">
        <f t="shared" si="1"/>
        <v>1</v>
      </c>
      <c r="J61" s="295"/>
    </row>
    <row r="62" spans="1:10" s="1" customFormat="1" ht="60" customHeight="1" thickBot="1" x14ac:dyDescent="0.3">
      <c r="C62" s="115">
        <v>44</v>
      </c>
      <c r="D62" s="293"/>
      <c r="E62" s="104" t="str">
        <f>+IFERROR(INDEX(Hoja1!$E$2:$E$45,MATCH('Análisis Resultados'!C62,Hoja1!$H$2:$H$45,0)),"")</f>
        <v>No se gestionan los problemas que afectan el cumplimiento de las funciones y objetivos institucionales(riesgos).</v>
      </c>
      <c r="F62" s="105" t="str">
        <f>+IFERROR(VLOOKUP(C62,Hoja1!$H$2:$I$45,2,0),"")</f>
        <v>Si</v>
      </c>
      <c r="G62" s="106" t="str">
        <f t="shared" si="0"/>
        <v>Existe requerimiento pero se requiere actividades  dirigidas a su mantenimiento dentro del marco de las lineas de defensa.</v>
      </c>
      <c r="H62" s="3"/>
      <c r="I62" s="118">
        <f t="shared" si="1"/>
        <v>1</v>
      </c>
      <c r="J62" s="296"/>
    </row>
    <row r="63" spans="1:10" s="1" customFormat="1" x14ac:dyDescent="0.25">
      <c r="H63" s="3"/>
    </row>
    <row r="64" spans="1:10" s="1" customFormat="1" x14ac:dyDescent="0.25">
      <c r="H64" s="3"/>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rintOptions horizontalCentered="1"/>
  <pageMargins left="0.25" right="0.25" top="0.75" bottom="0.75" header="0.3" footer="0.3"/>
  <pageSetup scale="50" orientation="portrait" horizontalDpi="0" verticalDpi="0"/>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1"/>
  <sheetViews>
    <sheetView showGridLines="0" tabSelected="1" topLeftCell="A3" zoomScale="80" zoomScaleNormal="80" workbookViewId="0">
      <selection activeCell="F4" sqref="F4:M5"/>
    </sheetView>
  </sheetViews>
  <sheetFormatPr baseColWidth="10" defaultColWidth="11.42578125" defaultRowHeight="15" x14ac:dyDescent="0.25"/>
  <cols>
    <col min="1" max="1" width="4.42578125" customWidth="1"/>
    <col min="3" max="3" width="35.42578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x14ac:dyDescent="0.25">
      <c r="A3" s="1"/>
      <c r="B3" s="160"/>
      <c r="C3" s="161"/>
      <c r="D3" s="161"/>
      <c r="E3" s="161"/>
      <c r="F3" s="161"/>
      <c r="G3" s="161"/>
      <c r="H3" s="161"/>
      <c r="I3" s="161"/>
      <c r="J3" s="161"/>
      <c r="K3" s="161"/>
      <c r="L3" s="161"/>
      <c r="M3" s="161"/>
      <c r="N3" s="161"/>
      <c r="O3" s="161"/>
      <c r="P3" s="162"/>
      <c r="Q3" s="1"/>
    </row>
    <row r="4" spans="1:17" ht="16.5" x14ac:dyDescent="0.3">
      <c r="A4" s="1"/>
      <c r="B4" s="163"/>
      <c r="C4" s="3"/>
      <c r="D4" s="3"/>
      <c r="E4" s="324" t="s">
        <v>123</v>
      </c>
      <c r="F4" s="326" t="s">
        <v>196</v>
      </c>
      <c r="G4" s="326"/>
      <c r="H4" s="326"/>
      <c r="I4" s="326"/>
      <c r="J4" s="326"/>
      <c r="K4" s="326"/>
      <c r="L4" s="326"/>
      <c r="M4" s="326"/>
      <c r="N4" s="4"/>
      <c r="O4" s="4"/>
      <c r="P4" s="164"/>
      <c r="Q4" s="1"/>
    </row>
    <row r="5" spans="1:17" ht="45.75" customHeight="1" x14ac:dyDescent="0.3">
      <c r="A5" s="1"/>
      <c r="B5" s="163"/>
      <c r="C5" s="3"/>
      <c r="D5" s="3"/>
      <c r="E5" s="325"/>
      <c r="F5" s="326"/>
      <c r="G5" s="326"/>
      <c r="H5" s="326"/>
      <c r="I5" s="326"/>
      <c r="J5" s="326"/>
      <c r="K5" s="326"/>
      <c r="L5" s="326"/>
      <c r="M5" s="326"/>
      <c r="N5" s="4"/>
      <c r="O5" s="4"/>
      <c r="P5" s="164"/>
      <c r="Q5" s="1"/>
    </row>
    <row r="6" spans="1:17" ht="66.75" customHeight="1" x14ac:dyDescent="0.3">
      <c r="A6" s="1"/>
      <c r="B6" s="163"/>
      <c r="C6" s="3"/>
      <c r="D6" s="3"/>
      <c r="E6" s="153" t="s">
        <v>124</v>
      </c>
      <c r="F6" s="327" t="s">
        <v>234</v>
      </c>
      <c r="G6" s="328"/>
      <c r="H6" s="328"/>
      <c r="I6" s="328"/>
      <c r="J6" s="328"/>
      <c r="K6" s="328"/>
      <c r="L6" s="328"/>
      <c r="M6" s="329"/>
      <c r="N6" s="6"/>
      <c r="O6" s="6"/>
      <c r="P6" s="164"/>
      <c r="Q6" s="1"/>
    </row>
    <row r="7" spans="1:17" ht="17.25" thickBot="1" x14ac:dyDescent="0.35">
      <c r="A7" s="1"/>
      <c r="B7" s="163"/>
      <c r="C7" s="3"/>
      <c r="D7" s="3"/>
      <c r="E7" s="7"/>
      <c r="F7" s="6"/>
      <c r="G7" s="6"/>
      <c r="H7" s="6"/>
      <c r="I7" s="6"/>
      <c r="J7" s="6"/>
      <c r="K7" s="6"/>
      <c r="L7" s="6"/>
      <c r="M7" s="3"/>
      <c r="N7" s="3"/>
      <c r="O7" s="3"/>
      <c r="P7" s="164"/>
      <c r="Q7" s="1"/>
    </row>
    <row r="8" spans="1:17" ht="97.5" customHeight="1" thickBot="1" x14ac:dyDescent="0.3">
      <c r="A8" s="1"/>
      <c r="B8" s="163"/>
      <c r="C8" s="3"/>
      <c r="D8" s="3"/>
      <c r="E8" s="3"/>
      <c r="F8" s="3"/>
      <c r="G8" s="3"/>
      <c r="H8" s="3"/>
      <c r="I8" s="330" t="s">
        <v>125</v>
      </c>
      <c r="J8" s="331"/>
      <c r="K8" s="332"/>
      <c r="L8" s="3"/>
      <c r="M8" s="152">
        <f>+AVERAGE(G26,G28,G30,G32,G34)</f>
        <v>0.98000000000000009</v>
      </c>
      <c r="N8" s="8"/>
      <c r="O8" s="8"/>
      <c r="P8" s="164"/>
      <c r="Q8" s="1"/>
    </row>
    <row r="9" spans="1:17" ht="15.75" x14ac:dyDescent="0.25">
      <c r="A9" s="1"/>
      <c r="B9" s="163"/>
      <c r="C9" s="3"/>
      <c r="D9" s="3"/>
      <c r="E9" s="3"/>
      <c r="F9" s="3"/>
      <c r="G9" s="3"/>
      <c r="H9" s="3"/>
      <c r="I9" s="3"/>
      <c r="J9" s="3"/>
      <c r="K9" s="3"/>
      <c r="L9" s="3"/>
      <c r="M9" s="9"/>
      <c r="N9" s="9"/>
      <c r="O9" s="9"/>
      <c r="P9" s="164"/>
      <c r="Q9" s="1"/>
    </row>
    <row r="10" spans="1:17" x14ac:dyDescent="0.25">
      <c r="A10" s="1"/>
      <c r="B10" s="163"/>
      <c r="C10" s="3"/>
      <c r="D10" s="3"/>
      <c r="E10" s="3"/>
      <c r="F10" s="3"/>
      <c r="G10" s="3"/>
      <c r="H10" s="3"/>
      <c r="I10" s="3"/>
      <c r="J10" s="3"/>
      <c r="K10" s="3"/>
      <c r="L10" s="3"/>
      <c r="M10" s="3"/>
      <c r="N10" s="3"/>
      <c r="O10" s="3"/>
      <c r="P10" s="164"/>
      <c r="Q10" s="1"/>
    </row>
    <row r="11" spans="1:17" x14ac:dyDescent="0.25">
      <c r="A11" s="1"/>
      <c r="B11" s="163"/>
      <c r="C11" s="3"/>
      <c r="D11" s="3"/>
      <c r="E11" s="3"/>
      <c r="F11" s="3"/>
      <c r="G11" s="3"/>
      <c r="H11" s="3"/>
      <c r="I11" s="3"/>
      <c r="J11" s="3"/>
      <c r="K11" s="3"/>
      <c r="L11" s="3"/>
      <c r="M11" s="3"/>
      <c r="N11" s="3"/>
      <c r="O11" s="3"/>
      <c r="P11" s="164"/>
      <c r="Q11" s="1"/>
    </row>
    <row r="12" spans="1:17" x14ac:dyDescent="0.25">
      <c r="A12" s="1"/>
      <c r="B12" s="163"/>
      <c r="C12" s="3"/>
      <c r="D12" s="3"/>
      <c r="E12" s="3"/>
      <c r="F12" s="3"/>
      <c r="G12" s="3"/>
      <c r="H12" s="3"/>
      <c r="I12" s="3"/>
      <c r="J12" s="3"/>
      <c r="K12" s="3"/>
      <c r="L12" s="3"/>
      <c r="M12" s="3"/>
      <c r="N12" s="3"/>
      <c r="O12" s="3"/>
      <c r="P12" s="164"/>
      <c r="Q12" s="1"/>
    </row>
    <row r="13" spans="1:17" x14ac:dyDescent="0.25">
      <c r="A13" s="1"/>
      <c r="B13" s="163"/>
      <c r="C13" s="3"/>
      <c r="D13" s="3"/>
      <c r="E13" s="3"/>
      <c r="F13" s="3"/>
      <c r="G13" s="3"/>
      <c r="H13" s="3"/>
      <c r="I13" s="3"/>
      <c r="J13" s="3"/>
      <c r="K13" s="3"/>
      <c r="L13" s="3"/>
      <c r="M13" s="3"/>
      <c r="N13" s="3"/>
      <c r="O13" s="3"/>
      <c r="P13" s="164"/>
      <c r="Q13" s="1"/>
    </row>
    <row r="14" spans="1:17" x14ac:dyDescent="0.25">
      <c r="A14" s="1"/>
      <c r="B14" s="163"/>
      <c r="C14" s="3"/>
      <c r="D14" s="3"/>
      <c r="E14" s="3"/>
      <c r="F14" s="3"/>
      <c r="G14" s="3"/>
      <c r="H14" s="3"/>
      <c r="I14" s="3"/>
      <c r="J14" s="3"/>
      <c r="K14" s="3"/>
      <c r="L14" s="3"/>
      <c r="M14" s="3"/>
      <c r="N14" s="3"/>
      <c r="O14" s="3"/>
      <c r="P14" s="164"/>
      <c r="Q14" s="1"/>
    </row>
    <row r="15" spans="1:17" x14ac:dyDescent="0.25">
      <c r="A15" s="1"/>
      <c r="B15" s="163"/>
      <c r="C15" s="3"/>
      <c r="D15" s="3"/>
      <c r="E15" s="3"/>
      <c r="F15" s="3"/>
      <c r="G15" s="3"/>
      <c r="H15" s="3"/>
      <c r="I15" s="3"/>
      <c r="J15" s="3"/>
      <c r="K15" s="3"/>
      <c r="L15" s="3"/>
      <c r="M15" s="3"/>
      <c r="N15" s="3"/>
      <c r="O15" s="3"/>
      <c r="P15" s="164"/>
      <c r="Q15" s="1"/>
    </row>
    <row r="16" spans="1:17" x14ac:dyDescent="0.25">
      <c r="A16" s="1"/>
      <c r="B16" s="163"/>
      <c r="C16" s="3"/>
      <c r="D16" s="3"/>
      <c r="E16" s="3"/>
      <c r="F16" s="3"/>
      <c r="G16" s="3"/>
      <c r="H16" s="3"/>
      <c r="I16" s="3"/>
      <c r="J16" s="3"/>
      <c r="K16" s="3"/>
      <c r="L16" s="3"/>
      <c r="M16" s="3"/>
      <c r="N16" s="3"/>
      <c r="O16" s="3"/>
      <c r="P16" s="164"/>
      <c r="Q16" s="1"/>
    </row>
    <row r="17" spans="1:17" x14ac:dyDescent="0.25">
      <c r="A17" s="1"/>
      <c r="B17" s="163"/>
      <c r="C17" s="3"/>
      <c r="D17" s="3"/>
      <c r="E17" s="3"/>
      <c r="F17" s="3"/>
      <c r="G17" s="3"/>
      <c r="H17" s="3"/>
      <c r="I17" s="3"/>
      <c r="J17" s="3"/>
      <c r="K17" s="3"/>
      <c r="L17" s="3"/>
      <c r="M17" s="3"/>
      <c r="N17" s="3"/>
      <c r="O17" s="3"/>
      <c r="P17" s="164"/>
      <c r="Q17" s="1"/>
    </row>
    <row r="18" spans="1:17" ht="45" x14ac:dyDescent="0.25">
      <c r="A18" s="1"/>
      <c r="B18" s="163"/>
      <c r="C18" s="333" t="s">
        <v>126</v>
      </c>
      <c r="D18" s="334"/>
      <c r="E18" s="334"/>
      <c r="F18" s="334"/>
      <c r="G18" s="334"/>
      <c r="H18" s="334"/>
      <c r="I18" s="334"/>
      <c r="J18" s="334"/>
      <c r="K18" s="334"/>
      <c r="L18" s="334"/>
      <c r="M18" s="335"/>
      <c r="N18" s="10"/>
      <c r="O18" s="10"/>
      <c r="P18" s="164"/>
      <c r="Q18" s="1"/>
    </row>
    <row r="19" spans="1:17" ht="16.5" thickBot="1" x14ac:dyDescent="0.3">
      <c r="A19" s="1"/>
      <c r="B19" s="163"/>
      <c r="C19" s="11"/>
      <c r="D19" s="11"/>
      <c r="E19" s="11"/>
      <c r="F19" s="11"/>
      <c r="G19" s="11"/>
      <c r="H19" s="11"/>
      <c r="I19" s="11"/>
      <c r="J19" s="11"/>
      <c r="K19" s="11"/>
      <c r="L19" s="11"/>
      <c r="M19" s="11"/>
      <c r="N19" s="12"/>
      <c r="O19" s="12"/>
      <c r="P19" s="164"/>
      <c r="Q19" s="1"/>
    </row>
    <row r="20" spans="1:17" ht="115.5" customHeight="1" x14ac:dyDescent="0.25">
      <c r="A20" s="1"/>
      <c r="B20" s="163"/>
      <c r="C20" s="336" t="s">
        <v>127</v>
      </c>
      <c r="D20" s="337"/>
      <c r="E20" s="154" t="s">
        <v>38</v>
      </c>
      <c r="F20" s="338" t="s">
        <v>235</v>
      </c>
      <c r="G20" s="338"/>
      <c r="H20" s="338"/>
      <c r="I20" s="338"/>
      <c r="J20" s="338"/>
      <c r="K20" s="338"/>
      <c r="L20" s="338"/>
      <c r="M20" s="339"/>
      <c r="N20" s="12"/>
      <c r="O20" s="12"/>
      <c r="P20" s="164"/>
      <c r="Q20" s="1"/>
    </row>
    <row r="21" spans="1:17" ht="81" customHeight="1" x14ac:dyDescent="0.25">
      <c r="A21" s="1"/>
      <c r="B21" s="163"/>
      <c r="C21" s="320" t="s">
        <v>128</v>
      </c>
      <c r="D21" s="321"/>
      <c r="E21" s="155" t="s">
        <v>38</v>
      </c>
      <c r="F21" s="340" t="s">
        <v>236</v>
      </c>
      <c r="G21" s="340"/>
      <c r="H21" s="340"/>
      <c r="I21" s="340"/>
      <c r="J21" s="340"/>
      <c r="K21" s="340"/>
      <c r="L21" s="340"/>
      <c r="M21" s="341"/>
      <c r="N21" s="12"/>
      <c r="O21" s="12"/>
      <c r="P21" s="164"/>
      <c r="Q21" s="1"/>
    </row>
    <row r="22" spans="1:17" ht="189" customHeight="1" thickBot="1" x14ac:dyDescent="0.3">
      <c r="A22" s="1"/>
      <c r="B22" s="165"/>
      <c r="C22" s="322" t="s">
        <v>129</v>
      </c>
      <c r="D22" s="323"/>
      <c r="E22" s="156" t="s">
        <v>38</v>
      </c>
      <c r="F22" s="342" t="s">
        <v>237</v>
      </c>
      <c r="G22" s="342"/>
      <c r="H22" s="342"/>
      <c r="I22" s="342"/>
      <c r="J22" s="342"/>
      <c r="K22" s="342"/>
      <c r="L22" s="342"/>
      <c r="M22" s="343"/>
      <c r="N22" s="166"/>
      <c r="O22" s="166"/>
      <c r="P22" s="167"/>
      <c r="Q22" s="1"/>
    </row>
    <row r="23" spans="1:17" ht="15.75" thickBot="1" x14ac:dyDescent="0.3">
      <c r="A23" s="1"/>
      <c r="B23" s="2"/>
      <c r="C23" s="3"/>
      <c r="D23" s="3"/>
      <c r="E23" s="3"/>
      <c r="F23" s="3"/>
      <c r="G23" s="13"/>
      <c r="H23" s="3"/>
      <c r="I23" s="3"/>
      <c r="J23" s="3"/>
      <c r="K23" s="3"/>
      <c r="L23" s="3"/>
      <c r="M23" s="3"/>
      <c r="N23" s="3"/>
      <c r="O23" s="3"/>
      <c r="P23" s="5"/>
      <c r="Q23" s="1"/>
    </row>
    <row r="24" spans="1:17" ht="127.5" customHeight="1" thickBot="1" x14ac:dyDescent="0.3">
      <c r="A24" s="1"/>
      <c r="B24" s="2"/>
      <c r="C24" s="182" t="s">
        <v>130</v>
      </c>
      <c r="D24" s="178"/>
      <c r="E24" s="181" t="s">
        <v>131</v>
      </c>
      <c r="F24" s="79"/>
      <c r="G24" s="181" t="s">
        <v>132</v>
      </c>
      <c r="H24" s="79"/>
      <c r="I24" s="347" t="s">
        <v>198</v>
      </c>
      <c r="J24" s="348"/>
      <c r="K24" s="348"/>
      <c r="L24" s="348"/>
      <c r="M24" s="349"/>
      <c r="N24" s="27"/>
      <c r="O24" s="27"/>
      <c r="P24" s="5"/>
      <c r="Q24" s="14"/>
    </row>
    <row r="25" spans="1:17" ht="21" customHeight="1" thickBot="1" x14ac:dyDescent="0.3">
      <c r="A25" s="1"/>
      <c r="B25" s="2"/>
      <c r="C25" s="26"/>
      <c r="D25" s="179"/>
      <c r="E25" s="15"/>
      <c r="F25" s="15"/>
      <c r="G25" s="15"/>
      <c r="H25" s="15"/>
      <c r="I25" s="353"/>
      <c r="J25" s="353"/>
      <c r="K25" s="353"/>
      <c r="L25" s="353"/>
      <c r="M25" s="353"/>
      <c r="N25" s="28"/>
      <c r="O25" s="28"/>
      <c r="P25" s="5"/>
      <c r="Q25" s="1"/>
    </row>
    <row r="26" spans="1:17" ht="255.95" customHeight="1" thickBot="1" x14ac:dyDescent="0.3">
      <c r="A26" s="1"/>
      <c r="B26" s="2"/>
      <c r="C26" s="183" t="s">
        <v>32</v>
      </c>
      <c r="D26" s="177"/>
      <c r="E26" s="169" t="str">
        <f>+IF(Hoja1!K2&gt;=0.5,"Si","No")</f>
        <v>Si</v>
      </c>
      <c r="F26" s="159"/>
      <c r="G26" s="170">
        <f>+Hoja1!K2</f>
        <v>1</v>
      </c>
      <c r="H26" s="16"/>
      <c r="I26" s="350" t="s">
        <v>238</v>
      </c>
      <c r="J26" s="351"/>
      <c r="K26" s="351"/>
      <c r="L26" s="351"/>
      <c r="M26" s="352"/>
      <c r="N26" s="29"/>
      <c r="O26" s="30"/>
      <c r="P26" s="17"/>
      <c r="Q26" s="18"/>
    </row>
    <row r="27" spans="1:17" ht="15.75" customHeight="1" thickBot="1" x14ac:dyDescent="0.4">
      <c r="A27" s="1"/>
      <c r="B27" s="2"/>
      <c r="C27" s="78"/>
      <c r="D27" s="180"/>
      <c r="E27" s="157"/>
      <c r="F27" s="158"/>
      <c r="G27" s="168"/>
      <c r="H27" s="158"/>
      <c r="I27" s="354"/>
      <c r="J27" s="354"/>
      <c r="K27" s="354"/>
      <c r="L27" s="354"/>
      <c r="M27" s="354"/>
      <c r="N27" s="31"/>
      <c r="O27" s="31"/>
      <c r="P27" s="5"/>
      <c r="Q27" s="1"/>
    </row>
    <row r="28" spans="1:17" ht="399" customHeight="1" thickBot="1" x14ac:dyDescent="0.5">
      <c r="A28" s="1"/>
      <c r="B28" s="2"/>
      <c r="C28" s="184" t="s">
        <v>133</v>
      </c>
      <c r="D28" s="177"/>
      <c r="E28" s="169" t="str">
        <f>+IF(Hoja1!K14&gt;=0.5,"Si","No")</f>
        <v>Si</v>
      </c>
      <c r="F28" s="171"/>
      <c r="G28" s="170">
        <f>+Hoja1!K14</f>
        <v>0.9</v>
      </c>
      <c r="H28" s="158"/>
      <c r="I28" s="344" t="s">
        <v>242</v>
      </c>
      <c r="J28" s="345"/>
      <c r="K28" s="345"/>
      <c r="L28" s="345"/>
      <c r="M28" s="346"/>
      <c r="N28" s="29"/>
      <c r="O28" s="29"/>
      <c r="P28" s="5"/>
      <c r="Q28" s="1"/>
    </row>
    <row r="29" spans="1:17" ht="12.95" customHeight="1" thickBot="1" x14ac:dyDescent="0.4">
      <c r="A29" s="1"/>
      <c r="B29" s="2"/>
      <c r="C29" s="78"/>
      <c r="D29" s="180"/>
      <c r="E29" s="157"/>
      <c r="F29" s="158"/>
      <c r="G29" s="168"/>
      <c r="H29" s="158"/>
      <c r="I29" s="354"/>
      <c r="J29" s="354"/>
      <c r="K29" s="354"/>
      <c r="L29" s="354"/>
      <c r="M29" s="354"/>
      <c r="N29" s="31"/>
      <c r="O29" s="31"/>
      <c r="P29" s="5"/>
      <c r="Q29" s="1"/>
    </row>
    <row r="30" spans="1:17" ht="245.1" customHeight="1" thickBot="1" x14ac:dyDescent="0.5">
      <c r="A30" s="1"/>
      <c r="B30" s="2"/>
      <c r="C30" s="185" t="s">
        <v>134</v>
      </c>
      <c r="D30" s="177"/>
      <c r="E30" s="169" t="str">
        <f>+IF(Hoja1!K24&gt;=0.5,"Si","No")</f>
        <v>Si</v>
      </c>
      <c r="F30" s="171"/>
      <c r="G30" s="170">
        <f>+Hoja1!K24</f>
        <v>1</v>
      </c>
      <c r="H30" s="158"/>
      <c r="I30" s="344" t="s">
        <v>239</v>
      </c>
      <c r="J30" s="345"/>
      <c r="K30" s="345"/>
      <c r="L30" s="345"/>
      <c r="M30" s="346"/>
      <c r="N30" s="29"/>
      <c r="O30" s="29"/>
      <c r="P30" s="5"/>
      <c r="Q30" s="1"/>
    </row>
    <row r="31" spans="1:17" ht="12.95" customHeight="1" thickBot="1" x14ac:dyDescent="0.5">
      <c r="A31" s="1"/>
      <c r="B31" s="2"/>
      <c r="C31" s="172"/>
      <c r="D31" s="180"/>
      <c r="E31" s="173"/>
      <c r="F31" s="171"/>
      <c r="G31" s="174"/>
      <c r="H31" s="158"/>
      <c r="I31" s="354"/>
      <c r="J31" s="354"/>
      <c r="K31" s="354"/>
      <c r="L31" s="354"/>
      <c r="M31" s="354"/>
      <c r="N31" s="31"/>
      <c r="O31" s="31"/>
      <c r="P31" s="5"/>
      <c r="Q31" s="1"/>
    </row>
    <row r="32" spans="1:17" ht="129" customHeight="1" thickBot="1" x14ac:dyDescent="0.5">
      <c r="A32" s="1"/>
      <c r="B32" s="2"/>
      <c r="C32" s="186" t="s">
        <v>86</v>
      </c>
      <c r="D32" s="177"/>
      <c r="E32" s="169" t="str">
        <f>+IF(Hoja1!K29&gt;=0.5,"Si","No")</f>
        <v>Si</v>
      </c>
      <c r="F32" s="171"/>
      <c r="G32" s="170">
        <f>+Hoja1!K29</f>
        <v>1</v>
      </c>
      <c r="H32" s="158"/>
      <c r="I32" s="344" t="s">
        <v>240</v>
      </c>
      <c r="J32" s="345"/>
      <c r="K32" s="345"/>
      <c r="L32" s="345"/>
      <c r="M32" s="346"/>
      <c r="N32" s="29"/>
      <c r="O32" s="29"/>
      <c r="P32" s="5"/>
      <c r="Q32" s="1"/>
    </row>
    <row r="33" spans="1:17" ht="17.100000000000001" customHeight="1" thickBot="1" x14ac:dyDescent="0.5">
      <c r="A33" s="1"/>
      <c r="B33" s="2"/>
      <c r="C33" s="172"/>
      <c r="D33" s="180"/>
      <c r="E33" s="173"/>
      <c r="F33" s="171"/>
      <c r="G33" s="174"/>
      <c r="H33" s="158"/>
      <c r="I33" s="354"/>
      <c r="J33" s="354"/>
      <c r="K33" s="354"/>
      <c r="L33" s="354"/>
      <c r="M33" s="354"/>
      <c r="N33" s="31"/>
      <c r="O33" s="31"/>
      <c r="P33" s="5"/>
      <c r="Q33" s="1"/>
    </row>
    <row r="34" spans="1:17" ht="168" customHeight="1" thickBot="1" x14ac:dyDescent="0.5">
      <c r="A34" s="1"/>
      <c r="B34" s="2"/>
      <c r="C34" s="175" t="s">
        <v>135</v>
      </c>
      <c r="D34" s="177"/>
      <c r="E34" s="176" t="str">
        <f>+IF(Hoja1!K36&gt;=0.5,"Si","No")</f>
        <v>Si</v>
      </c>
      <c r="F34" s="171"/>
      <c r="G34" s="170">
        <f>+Hoja1!K36</f>
        <v>1</v>
      </c>
      <c r="H34" s="158"/>
      <c r="I34" s="344" t="s">
        <v>241</v>
      </c>
      <c r="J34" s="345"/>
      <c r="K34" s="345"/>
      <c r="L34" s="345"/>
      <c r="M34" s="346"/>
      <c r="N34" s="29"/>
      <c r="O34" s="29"/>
      <c r="P34" s="5"/>
      <c r="Q34" s="1"/>
    </row>
    <row r="35" spans="1:17" ht="15.75" x14ac:dyDescent="0.25">
      <c r="A35" s="1"/>
      <c r="B35" s="2"/>
      <c r="C35" s="19"/>
      <c r="D35" s="19"/>
      <c r="E35" s="12"/>
      <c r="F35" s="3"/>
      <c r="G35" s="3"/>
      <c r="H35" s="3"/>
      <c r="I35" s="3"/>
      <c r="J35" s="3"/>
      <c r="K35" s="3"/>
      <c r="L35" s="3"/>
      <c r="M35" s="20"/>
      <c r="N35" s="20"/>
      <c r="O35" s="20"/>
      <c r="P35" s="5"/>
      <c r="Q35" s="1"/>
    </row>
    <row r="36" spans="1:17" ht="15.75" x14ac:dyDescent="0.25">
      <c r="A36" s="1"/>
      <c r="B36" s="2"/>
      <c r="C36" s="21"/>
      <c r="D36" s="19"/>
      <c r="E36" s="12"/>
      <c r="F36" s="3"/>
      <c r="G36" s="3"/>
      <c r="H36" s="3"/>
      <c r="I36" s="3"/>
      <c r="J36" s="3"/>
      <c r="K36" s="3"/>
      <c r="L36" s="3"/>
      <c r="M36" s="20"/>
      <c r="N36" s="20"/>
      <c r="O36" s="20"/>
      <c r="P36" s="5"/>
      <c r="Q36" s="1"/>
    </row>
    <row r="37" spans="1:17" x14ac:dyDescent="0.25">
      <c r="A37" s="1"/>
      <c r="B37" s="2"/>
      <c r="C37" s="22"/>
      <c r="D37" s="3"/>
      <c r="E37" s="3"/>
      <c r="F37" s="3"/>
      <c r="G37" s="3"/>
      <c r="H37" s="3"/>
      <c r="I37" s="3"/>
      <c r="J37" s="3"/>
      <c r="K37" s="3"/>
      <c r="L37" s="3"/>
      <c r="M37" s="3"/>
      <c r="N37" s="3"/>
      <c r="O37" s="3"/>
      <c r="P37" s="5"/>
      <c r="Q37" s="1"/>
    </row>
    <row r="38" spans="1:17" ht="84.95" customHeight="1" thickBot="1" x14ac:dyDescent="0.3">
      <c r="A38" s="1"/>
      <c r="B38" s="23"/>
      <c r="C38" s="24"/>
      <c r="D38" s="24"/>
      <c r="E38" s="24"/>
      <c r="F38" s="24"/>
      <c r="G38" s="24"/>
      <c r="H38" s="24"/>
      <c r="I38" s="24"/>
      <c r="J38" s="24"/>
      <c r="K38" s="24"/>
      <c r="L38" s="24"/>
      <c r="M38" s="24"/>
      <c r="N38" s="24"/>
      <c r="O38" s="24"/>
      <c r="P38" s="25"/>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rintOptions horizontalCentered="1"/>
  <pageMargins left="0.7" right="0.7" top="0.75" bottom="0.75" header="0.3" footer="0.3"/>
  <pageSetup scale="23" fitToHeight="2"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'\Users\juanimac\Downloads\Users\macos\Library\Containers\com.microsoft.Excel\Data\Documents\C:\Users\dell\Desktop\cesar\HISTORICOS\[2020-04-22_Formato_informe_sci_parametrizado_final.xlsx]Analisis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23" t="s">
        <v>25</v>
      </c>
      <c r="B1" s="123" t="s">
        <v>6</v>
      </c>
      <c r="C1" s="124" t="s">
        <v>8</v>
      </c>
      <c r="D1" s="125" t="s">
        <v>26</v>
      </c>
      <c r="E1" s="125" t="s">
        <v>27</v>
      </c>
      <c r="F1" s="125" t="s">
        <v>136</v>
      </c>
      <c r="G1" s="126" t="s">
        <v>137</v>
      </c>
      <c r="H1" s="126" t="s">
        <v>138</v>
      </c>
      <c r="I1" s="126" t="s">
        <v>118</v>
      </c>
      <c r="J1" s="126" t="s">
        <v>139</v>
      </c>
      <c r="K1" s="126" t="s">
        <v>140</v>
      </c>
    </row>
    <row r="2" spans="1:11" x14ac:dyDescent="0.25">
      <c r="A2" s="127" t="s">
        <v>141</v>
      </c>
      <c r="B2" s="127" t="str">
        <f>+VLOOKUP(A2,'Estado SCI'!$A$16:$C$59,3,0)</f>
        <v>AMBIENTE DE CONTROL</v>
      </c>
      <c r="C2" s="127" t="s">
        <v>33</v>
      </c>
      <c r="D2" s="127" t="s">
        <v>34</v>
      </c>
      <c r="E2" s="127" t="s">
        <v>35</v>
      </c>
      <c r="F2" s="127" t="str">
        <f>+VLOOKUP(A2,'Estado SCI'!$A$16:$I$59,9,0)</f>
        <v>Mantenimiento del control</v>
      </c>
      <c r="G2" s="127">
        <f>+VLOOKUP(A2,'Estado SCI'!$A$16:$L$59,12,0)</f>
        <v>20.123000000000001</v>
      </c>
      <c r="H2" s="127">
        <f t="shared" ref="H2:H45" si="0">+_xlfn.RANK.EQ(G2,$G$2:$G$45,1)</f>
        <v>1</v>
      </c>
      <c r="I2" s="127" t="str">
        <f>+IF(VLOOKUP(A2,'Estado SCI'!$A$16:$G$59,7,0)="","",VLOOKUP(A2,'Estado SCI'!$A$16:$G$59,7,0))</f>
        <v>Si</v>
      </c>
      <c r="J2" s="128">
        <f>+IF(I2="Si",1,IF(I2="En proceso",0.5,0))</f>
        <v>1</v>
      </c>
      <c r="K2" s="129">
        <f t="shared" ref="K2:K45" si="1">+AVERAGEIF($B$2:$B$45,B2,$J$2:$J$45)</f>
        <v>1</v>
      </c>
    </row>
    <row r="3" spans="1:11" x14ac:dyDescent="0.25">
      <c r="A3" s="127" t="s">
        <v>142</v>
      </c>
      <c r="B3" s="127" t="s">
        <v>32</v>
      </c>
      <c r="C3" s="127" t="s">
        <v>33</v>
      </c>
      <c r="D3" s="127" t="s">
        <v>36</v>
      </c>
      <c r="E3" s="127" t="s">
        <v>37</v>
      </c>
      <c r="F3" s="127" t="str">
        <f>+VLOOKUP(A3,'Estado SCI'!$A$16:$I$59,9,0)</f>
        <v>Mantenimiento del control</v>
      </c>
      <c r="G3" s="127">
        <f>+VLOOKUP(A3,'Estado SCI'!$A$16:$L$59,12,0)</f>
        <v>20.1234</v>
      </c>
      <c r="H3" s="127">
        <f t="shared" si="0"/>
        <v>2</v>
      </c>
      <c r="I3" s="127" t="str">
        <f>+IF(VLOOKUP(A3,'Estado SCI'!$A$16:$G$59,7,0)="","",VLOOKUP(A3,'Estado SCI'!$A$16:$G$59,7,0))</f>
        <v>Si</v>
      </c>
      <c r="J3" s="128">
        <f t="shared" ref="J3:J45" si="2">+IF(I3="Si",1,IF(I3="En proceso",0.5,0))</f>
        <v>1</v>
      </c>
      <c r="K3" s="129">
        <f t="shared" si="1"/>
        <v>1</v>
      </c>
    </row>
    <row r="4" spans="1:11" x14ac:dyDescent="0.25">
      <c r="A4" s="127" t="s">
        <v>143</v>
      </c>
      <c r="B4" s="127" t="s">
        <v>32</v>
      </c>
      <c r="C4" s="127" t="s">
        <v>33</v>
      </c>
      <c r="D4" s="127" t="s">
        <v>39</v>
      </c>
      <c r="E4" s="127" t="s">
        <v>40</v>
      </c>
      <c r="F4" s="127" t="str">
        <f>+VLOOKUP(A4,'Estado SCI'!$A$16:$I$59,9,0)</f>
        <v>Mantenimiento del control</v>
      </c>
      <c r="G4" s="127">
        <f>+VLOOKUP(A4,'Estado SCI'!$A$16:$L$59,12,0)</f>
        <v>20.123449999999998</v>
      </c>
      <c r="H4" s="127">
        <f t="shared" si="0"/>
        <v>3</v>
      </c>
      <c r="I4" s="127" t="str">
        <f>+IF(VLOOKUP(A4,'Estado SCI'!$A$16:$G$59,7,0)="","",VLOOKUP(A4,'Estado SCI'!$A$16:$G$59,7,0))</f>
        <v>Si</v>
      </c>
      <c r="J4" s="128">
        <f t="shared" si="2"/>
        <v>1</v>
      </c>
      <c r="K4" s="129">
        <f t="shared" si="1"/>
        <v>1</v>
      </c>
    </row>
    <row r="5" spans="1:11" x14ac:dyDescent="0.25">
      <c r="A5" s="127" t="s">
        <v>144</v>
      </c>
      <c r="B5" s="127" t="s">
        <v>32</v>
      </c>
      <c r="C5" s="127" t="s">
        <v>33</v>
      </c>
      <c r="D5" s="127" t="s">
        <v>41</v>
      </c>
      <c r="E5" s="127" t="s">
        <v>42</v>
      </c>
      <c r="F5" s="127" t="str">
        <f>+VLOOKUP(A5,'Estado SCI'!$A$16:$I$59,9,0)</f>
        <v>Mantenimiento del control</v>
      </c>
      <c r="G5" s="127">
        <f>+VLOOKUP(A5,'Estado SCI'!$A$16:$L$59,12,0)</f>
        <v>20.123456000000001</v>
      </c>
      <c r="H5" s="127">
        <f t="shared" si="0"/>
        <v>4</v>
      </c>
      <c r="I5" s="127" t="str">
        <f>+IF(VLOOKUP(A5,'Estado SCI'!$A$16:$G$59,7,0)="","",VLOOKUP(A5,'Estado SCI'!$A$16:$G$59,7,0))</f>
        <v>Si</v>
      </c>
      <c r="J5" s="128">
        <f t="shared" si="2"/>
        <v>1</v>
      </c>
      <c r="K5" s="129">
        <f t="shared" si="1"/>
        <v>1</v>
      </c>
    </row>
    <row r="6" spans="1:11" x14ac:dyDescent="0.25">
      <c r="A6" s="127" t="s">
        <v>145</v>
      </c>
      <c r="B6" s="127" t="s">
        <v>32</v>
      </c>
      <c r="C6" s="127" t="s">
        <v>33</v>
      </c>
      <c r="D6" s="127" t="s">
        <v>43</v>
      </c>
      <c r="E6" s="127" t="s">
        <v>44</v>
      </c>
      <c r="F6" s="127" t="str">
        <f>+VLOOKUP(A6,'Estado SCI'!$A$16:$I$59,9,0)</f>
        <v>Mantenimiento del control</v>
      </c>
      <c r="G6" s="127">
        <f>+VLOOKUP(A6,'Estado SCI'!$A$16:$L$59,12,0)</f>
        <v>20.123456780000001</v>
      </c>
      <c r="H6" s="127">
        <f t="shared" si="0"/>
        <v>5</v>
      </c>
      <c r="I6" s="127" t="str">
        <f>+IF(VLOOKUP(A6,'Estado SCI'!$A$16:$G$59,7,0)="","",VLOOKUP(A6,'Estado SCI'!$A$16:$G$59,7,0))</f>
        <v>Si</v>
      </c>
      <c r="J6" s="128">
        <f t="shared" si="2"/>
        <v>1</v>
      </c>
      <c r="K6" s="129">
        <f t="shared" si="1"/>
        <v>1</v>
      </c>
    </row>
    <row r="7" spans="1:11" x14ac:dyDescent="0.25">
      <c r="A7" s="127" t="s">
        <v>146</v>
      </c>
      <c r="B7" s="127" t="s">
        <v>32</v>
      </c>
      <c r="C7" s="127" t="s">
        <v>33</v>
      </c>
      <c r="D7" s="127" t="s">
        <v>45</v>
      </c>
      <c r="E7" s="127" t="s">
        <v>46</v>
      </c>
      <c r="F7" s="127" t="str">
        <f>+VLOOKUP(A7,'Estado SCI'!$A$16:$I$59,9,0)</f>
        <v>Mantenimiento del control</v>
      </c>
      <c r="G7" s="127">
        <f>+VLOOKUP(A7,'Estado SCI'!$A$16:$L$59,12,0)</f>
        <v>20.123456788999999</v>
      </c>
      <c r="H7" s="127">
        <f t="shared" si="0"/>
        <v>6</v>
      </c>
      <c r="I7" s="127" t="str">
        <f>+IF(VLOOKUP(A7,'Estado SCI'!$A$16:$G$59,7,0)="","",VLOOKUP(A7,'Estado SCI'!$A$16:$G$59,7,0))</f>
        <v>Si</v>
      </c>
      <c r="J7" s="128">
        <f t="shared" si="2"/>
        <v>1</v>
      </c>
      <c r="K7" s="129">
        <f t="shared" si="1"/>
        <v>1</v>
      </c>
    </row>
    <row r="8" spans="1:11" x14ac:dyDescent="0.25">
      <c r="A8" s="127" t="s">
        <v>147</v>
      </c>
      <c r="B8" s="127" t="s">
        <v>32</v>
      </c>
      <c r="C8" s="127" t="s">
        <v>33</v>
      </c>
      <c r="D8" s="127" t="s">
        <v>47</v>
      </c>
      <c r="E8" s="127" t="s">
        <v>48</v>
      </c>
      <c r="F8" s="127" t="str">
        <f>+VLOOKUP(A8,'Estado SCI'!$A$16:$I$59,9,0)</f>
        <v>Mantenimiento del control</v>
      </c>
      <c r="G8" s="127">
        <f>+VLOOKUP(A8,'Estado SCI'!$A$16:$L$59,12,0)</f>
        <v>20.1234567891</v>
      </c>
      <c r="H8" s="127">
        <f t="shared" si="0"/>
        <v>7</v>
      </c>
      <c r="I8" s="127" t="str">
        <f>+IF(VLOOKUP(A8,'Estado SCI'!$A$16:$G$59,7,0)="","",VLOOKUP(A8,'Estado SCI'!$A$16:$G$59,7,0))</f>
        <v>Si</v>
      </c>
      <c r="J8" s="128">
        <f t="shared" si="2"/>
        <v>1</v>
      </c>
      <c r="K8" s="129">
        <f t="shared" si="1"/>
        <v>1</v>
      </c>
    </row>
    <row r="9" spans="1:11" x14ac:dyDescent="0.25">
      <c r="A9" s="127" t="s">
        <v>148</v>
      </c>
      <c r="B9" s="127" t="s">
        <v>32</v>
      </c>
      <c r="C9" s="127" t="s">
        <v>33</v>
      </c>
      <c r="D9" s="127" t="s">
        <v>49</v>
      </c>
      <c r="E9" s="127" t="s">
        <v>50</v>
      </c>
      <c r="F9" s="127" t="str">
        <f>+VLOOKUP(A9,'Estado SCI'!$A$16:$I$59,9,0)</f>
        <v>Mantenimiento del control</v>
      </c>
      <c r="G9" s="127">
        <f>+VLOOKUP(A9,'Estado SCI'!$A$16:$L$59,12,0)</f>
        <v>20.123456789119999</v>
      </c>
      <c r="H9" s="127">
        <f t="shared" si="0"/>
        <v>8</v>
      </c>
      <c r="I9" s="127" t="str">
        <f>+IF(VLOOKUP(A9,'Estado SCI'!$A$16:$G$59,7,0)="","",VLOOKUP(A9,'Estado SCI'!$A$16:$G$59,7,0))</f>
        <v>Si</v>
      </c>
      <c r="J9" s="128">
        <f t="shared" si="2"/>
        <v>1</v>
      </c>
      <c r="K9" s="129">
        <f t="shared" si="1"/>
        <v>1</v>
      </c>
    </row>
    <row r="10" spans="1:11" x14ac:dyDescent="0.25">
      <c r="A10" s="127" t="s">
        <v>149</v>
      </c>
      <c r="B10" s="127" t="s">
        <v>32</v>
      </c>
      <c r="C10" s="127" t="s">
        <v>33</v>
      </c>
      <c r="D10" s="127" t="s">
        <v>51</v>
      </c>
      <c r="E10" s="127" t="s">
        <v>52</v>
      </c>
      <c r="F10" s="127" t="str">
        <f>+VLOOKUP(A10,'Estado SCI'!$A$16:$I$59,9,0)</f>
        <v>Mantenimiento del control</v>
      </c>
      <c r="G10" s="127">
        <f>+VLOOKUP(A10,'Estado SCI'!$A$16:$L$59,12,0)</f>
        <v>20.123456789123001</v>
      </c>
      <c r="H10" s="127">
        <f t="shared" si="0"/>
        <v>9</v>
      </c>
      <c r="I10" s="127" t="str">
        <f>+IF(VLOOKUP(A10,'Estado SCI'!$A$16:$G$59,7,0)="","",VLOOKUP(A10,'Estado SCI'!$A$16:$G$59,7,0))</f>
        <v>Si</v>
      </c>
      <c r="J10" s="128">
        <f t="shared" si="2"/>
        <v>1</v>
      </c>
      <c r="K10" s="129">
        <f t="shared" si="1"/>
        <v>1</v>
      </c>
    </row>
    <row r="11" spans="1:11" x14ac:dyDescent="0.25">
      <c r="A11" s="127" t="s">
        <v>150</v>
      </c>
      <c r="B11" s="127" t="s">
        <v>32</v>
      </c>
      <c r="C11" s="127" t="s">
        <v>33</v>
      </c>
      <c r="D11" s="127" t="s">
        <v>53</v>
      </c>
      <c r="E11" s="127" t="s">
        <v>54</v>
      </c>
      <c r="F11" s="127" t="str">
        <f>+VLOOKUP(A11,'Estado SCI'!$A$16:$I$59,9,0)</f>
        <v>Mantenimiento del control</v>
      </c>
      <c r="G11" s="127">
        <f>+VLOOKUP(A11,'Estado SCI'!$A$16:$L$59,12,0)</f>
        <v>20.123456789123399</v>
      </c>
      <c r="H11" s="127">
        <f t="shared" si="0"/>
        <v>10</v>
      </c>
      <c r="I11" s="127" t="str">
        <f>+IF(VLOOKUP(A11,'Estado SCI'!$A$16:$G$59,7,0)="","",VLOOKUP(A11,'Estado SCI'!$A$16:$G$59,7,0))</f>
        <v>Si</v>
      </c>
      <c r="J11" s="128">
        <f t="shared" si="2"/>
        <v>1</v>
      </c>
      <c r="K11" s="129">
        <f t="shared" si="1"/>
        <v>1</v>
      </c>
    </row>
    <row r="12" spans="1:11" x14ac:dyDescent="0.25">
      <c r="A12" s="127" t="s">
        <v>151</v>
      </c>
      <c r="B12" s="127" t="s">
        <v>32</v>
      </c>
      <c r="C12" s="127" t="s">
        <v>33</v>
      </c>
      <c r="D12" s="127" t="s">
        <v>55</v>
      </c>
      <c r="E12" s="127" t="s">
        <v>56</v>
      </c>
      <c r="F12" s="127" t="str">
        <f>+VLOOKUP(A12,'Estado SCI'!$A$16:$I$59,9,0)</f>
        <v>Mantenimiento del control</v>
      </c>
      <c r="G12" s="127">
        <f>+VLOOKUP(A12,'Estado SCI'!$A$16:$L$59,12,0)</f>
        <v>20.123456789123448</v>
      </c>
      <c r="H12" s="127">
        <f t="shared" si="0"/>
        <v>11</v>
      </c>
      <c r="I12" s="127" t="str">
        <f>+IF(VLOOKUP(A12,'Estado SCI'!$A$16:$G$59,7,0)="","",VLOOKUP(A12,'Estado SCI'!$A$16:$G$59,7,0))</f>
        <v>Si</v>
      </c>
      <c r="J12" s="128">
        <f t="shared" si="2"/>
        <v>1</v>
      </c>
      <c r="K12" s="129">
        <f t="shared" si="1"/>
        <v>1</v>
      </c>
    </row>
    <row r="13" spans="1:11" x14ac:dyDescent="0.25">
      <c r="A13" s="127" t="s">
        <v>152</v>
      </c>
      <c r="B13" s="127" t="s">
        <v>32</v>
      </c>
      <c r="C13" s="127" t="s">
        <v>33</v>
      </c>
      <c r="D13" s="127" t="s">
        <v>57</v>
      </c>
      <c r="E13" s="127" t="s">
        <v>58</v>
      </c>
      <c r="F13" s="127" t="str">
        <f>+VLOOKUP(A13,'Estado SCI'!$A$16:$I$59,9,0)</f>
        <v>Mantenimiento del control</v>
      </c>
      <c r="G13" s="127">
        <f>+VLOOKUP(A13,'Estado SCI'!$A$16:$L$59,12,0)</f>
        <v>20.123456789123455</v>
      </c>
      <c r="H13" s="127">
        <f t="shared" si="0"/>
        <v>12</v>
      </c>
      <c r="I13" s="127" t="str">
        <f>+IF(VLOOKUP(A13,'Estado SCI'!$A$16:$G$59,7,0)="","",VLOOKUP(A13,'Estado SCI'!$A$16:$G$59,7,0))</f>
        <v>Si</v>
      </c>
      <c r="J13" s="128">
        <f t="shared" si="2"/>
        <v>1</v>
      </c>
      <c r="K13" s="129">
        <f t="shared" si="1"/>
        <v>1</v>
      </c>
    </row>
    <row r="14" spans="1:11" ht="15" customHeight="1" x14ac:dyDescent="0.25">
      <c r="A14" s="127" t="s">
        <v>153</v>
      </c>
      <c r="B14" s="127" t="str">
        <f>+VLOOKUP(A14,'Estado SCI'!$A$16:$C$59,3,0)</f>
        <v>EVALUACION DEL RIESGO</v>
      </c>
      <c r="C14" s="127" t="s">
        <v>61</v>
      </c>
      <c r="D14" s="127" t="s">
        <v>34</v>
      </c>
      <c r="E14" s="127" t="s">
        <v>154</v>
      </c>
      <c r="F14" s="127" t="str">
        <f>+VLOOKUP(A14,'Estado SCI'!$A$16:$I$59,9,0)</f>
        <v>Oportunidad de mejora</v>
      </c>
      <c r="G14" s="127">
        <f>+VLOOKUP(A14,'Estado SCI'!$A$16:$L$59,12,0)</f>
        <v>30.23</v>
      </c>
      <c r="H14" s="127">
        <f t="shared" si="0"/>
        <v>13</v>
      </c>
      <c r="I14" s="127" t="str">
        <f>+IF(VLOOKUP(A14,'Estado SCI'!$A$16:$G$59,7,0)="","",VLOOKUP(A14,'Estado SCI'!$A$16:$G$59,7,0))</f>
        <v>En proceso</v>
      </c>
      <c r="J14" s="128">
        <f t="shared" si="2"/>
        <v>0.5</v>
      </c>
      <c r="K14" s="129">
        <f t="shared" si="1"/>
        <v>0.9</v>
      </c>
    </row>
    <row r="15" spans="1:11" ht="15" customHeight="1" x14ac:dyDescent="0.25">
      <c r="A15" s="127" t="s">
        <v>155</v>
      </c>
      <c r="B15" s="127" t="s">
        <v>60</v>
      </c>
      <c r="C15" s="127" t="s">
        <v>61</v>
      </c>
      <c r="D15" s="127" t="s">
        <v>36</v>
      </c>
      <c r="E15" s="127" t="s">
        <v>156</v>
      </c>
      <c r="F15" s="127" t="str">
        <f>+VLOOKUP(A15,'Estado SCI'!$A$16:$I$59,9,0)</f>
        <v>Oportunidad de mejora</v>
      </c>
      <c r="G15" s="127">
        <f>+VLOOKUP(A15,'Estado SCI'!$A$16:$L$59,12,0)</f>
        <v>30.234000000000002</v>
      </c>
      <c r="H15" s="127">
        <f t="shared" si="0"/>
        <v>14</v>
      </c>
      <c r="I15" s="127" t="str">
        <f>+IF(VLOOKUP(A15,'Estado SCI'!$A$16:$G$59,7,0)="","",VLOOKUP(A15,'Estado SCI'!$A$16:$G$59,7,0))</f>
        <v>En proceso</v>
      </c>
      <c r="J15" s="128">
        <f t="shared" si="2"/>
        <v>0.5</v>
      </c>
      <c r="K15" s="129">
        <f t="shared" si="1"/>
        <v>0.9</v>
      </c>
    </row>
    <row r="16" spans="1:11" ht="15" customHeight="1" x14ac:dyDescent="0.25">
      <c r="A16" s="127" t="s">
        <v>157</v>
      </c>
      <c r="B16" s="127" t="s">
        <v>60</v>
      </c>
      <c r="C16" s="127" t="s">
        <v>61</v>
      </c>
      <c r="D16" s="127" t="s">
        <v>39</v>
      </c>
      <c r="E16" s="127" t="s">
        <v>158</v>
      </c>
      <c r="F16" s="127" t="str">
        <f>+VLOOKUP(A16,'Estado SCI'!$A$16:$I$59,9,0)</f>
        <v>Mantenimiento del control</v>
      </c>
      <c r="G16" s="127">
        <f>+VLOOKUP(A16,'Estado SCI'!$A$16:$L$59,12,0)</f>
        <v>40.234499999999997</v>
      </c>
      <c r="H16" s="127">
        <f t="shared" si="0"/>
        <v>15</v>
      </c>
      <c r="I16" s="127" t="str">
        <f>+IF(VLOOKUP(A16,'Estado SCI'!$A$16:$G$59,7,0)="","",VLOOKUP(A16,'Estado SCI'!$A$16:$G$59,7,0))</f>
        <v>Si</v>
      </c>
      <c r="J16" s="128">
        <f t="shared" si="2"/>
        <v>1</v>
      </c>
      <c r="K16" s="129">
        <f t="shared" si="1"/>
        <v>0.9</v>
      </c>
    </row>
    <row r="17" spans="1:11" ht="15.75" customHeight="1" x14ac:dyDescent="0.25">
      <c r="A17" s="127" t="s">
        <v>159</v>
      </c>
      <c r="B17" s="127" t="s">
        <v>60</v>
      </c>
      <c r="C17" s="127" t="s">
        <v>61</v>
      </c>
      <c r="D17" s="127" t="s">
        <v>41</v>
      </c>
      <c r="E17" s="127" t="s">
        <v>65</v>
      </c>
      <c r="F17" s="127" t="str">
        <f>+VLOOKUP(A17,'Estado SCI'!$A$16:$I$59,9,0)</f>
        <v>Mantenimiento del control</v>
      </c>
      <c r="G17" s="127">
        <f>+VLOOKUP(A17,'Estado SCI'!$A$16:$L$59,12,0)</f>
        <v>40.234560000000002</v>
      </c>
      <c r="H17" s="127">
        <f t="shared" si="0"/>
        <v>16</v>
      </c>
      <c r="I17" s="127" t="str">
        <f>+IF(VLOOKUP(A17,'Estado SCI'!$A$16:$G$59,7,0)="","",VLOOKUP(A17,'Estado SCI'!$A$16:$G$59,7,0))</f>
        <v>Si</v>
      </c>
      <c r="J17" s="128">
        <f t="shared" si="2"/>
        <v>1</v>
      </c>
      <c r="K17" s="129">
        <f t="shared" si="1"/>
        <v>0.9</v>
      </c>
    </row>
    <row r="18" spans="1:11" ht="15" customHeight="1" x14ac:dyDescent="0.25">
      <c r="A18" s="127" t="s">
        <v>160</v>
      </c>
      <c r="B18" s="127" t="s">
        <v>60</v>
      </c>
      <c r="C18" s="127" t="s">
        <v>79</v>
      </c>
      <c r="D18" s="127" t="s">
        <v>34</v>
      </c>
      <c r="E18" s="127" t="s">
        <v>68</v>
      </c>
      <c r="F18" s="127" t="str">
        <f>+VLOOKUP(A18,'Estado SCI'!$A$16:$I$59,9,0)</f>
        <v>Mantenimiento del control</v>
      </c>
      <c r="G18" s="127">
        <f>+VLOOKUP(A18,'Estado SCI'!$A$16:$L$59,12,0)</f>
        <v>40.234566999999998</v>
      </c>
      <c r="H18" s="127">
        <f t="shared" si="0"/>
        <v>17</v>
      </c>
      <c r="I18" s="127" t="str">
        <f>+IF(VLOOKUP(A18,'Estado SCI'!$A$16:$G$59,7,0)="","",VLOOKUP(A18,'Estado SCI'!$A$16:$G$59,7,0))</f>
        <v>Si</v>
      </c>
      <c r="J18" s="128">
        <f t="shared" si="2"/>
        <v>1</v>
      </c>
      <c r="K18" s="129">
        <f t="shared" si="1"/>
        <v>0.9</v>
      </c>
    </row>
    <row r="19" spans="1:11" ht="15" customHeight="1" x14ac:dyDescent="0.25">
      <c r="A19" s="127" t="s">
        <v>161</v>
      </c>
      <c r="B19" s="127" t="s">
        <v>60</v>
      </c>
      <c r="C19" s="127" t="s">
        <v>79</v>
      </c>
      <c r="D19" s="127" t="s">
        <v>36</v>
      </c>
      <c r="E19" s="127" t="s">
        <v>69</v>
      </c>
      <c r="F19" s="127" t="str">
        <f>+VLOOKUP(A19,'Estado SCI'!$A$16:$I$59,9,0)</f>
        <v>Mantenimiento del control</v>
      </c>
      <c r="G19" s="127">
        <f>+VLOOKUP(A19,'Estado SCI'!$A$16:$L$59,12,0)</f>
        <v>40.234567800000001</v>
      </c>
      <c r="H19" s="127">
        <f t="shared" si="0"/>
        <v>18</v>
      </c>
      <c r="I19" s="127" t="str">
        <f>+IF(VLOOKUP(A19,'Estado SCI'!$A$16:$G$59,7,0)="","",VLOOKUP(A19,'Estado SCI'!$A$16:$G$59,7,0))</f>
        <v>Si</v>
      </c>
      <c r="J19" s="128">
        <f t="shared" si="2"/>
        <v>1</v>
      </c>
      <c r="K19" s="129">
        <f t="shared" si="1"/>
        <v>0.9</v>
      </c>
    </row>
    <row r="20" spans="1:11" ht="15" customHeight="1" x14ac:dyDescent="0.25">
      <c r="A20" s="127" t="s">
        <v>162</v>
      </c>
      <c r="B20" s="127" t="s">
        <v>60</v>
      </c>
      <c r="C20" s="127" t="s">
        <v>79</v>
      </c>
      <c r="D20" s="127" t="s">
        <v>39</v>
      </c>
      <c r="E20" s="127" t="s">
        <v>70</v>
      </c>
      <c r="F20" s="127" t="str">
        <f>+VLOOKUP(A20,'Estado SCI'!$A$16:$I$59,9,0)</f>
        <v>Mantenimiento del control</v>
      </c>
      <c r="G20" s="127">
        <f>+VLOOKUP(A20,'Estado SCI'!$A$16:$L$59,12,0)</f>
        <v>40.234567890000001</v>
      </c>
      <c r="H20" s="127">
        <f t="shared" si="0"/>
        <v>19</v>
      </c>
      <c r="I20" s="127" t="str">
        <f>+IF(VLOOKUP(A20,'Estado SCI'!$A$16:$G$59,7,0)="","",VLOOKUP(A20,'Estado SCI'!$A$16:$G$59,7,0))</f>
        <v>Si</v>
      </c>
      <c r="J20" s="128">
        <f t="shared" si="2"/>
        <v>1</v>
      </c>
      <c r="K20" s="129">
        <f t="shared" si="1"/>
        <v>0.9</v>
      </c>
    </row>
    <row r="21" spans="1:11" ht="15.75" customHeight="1" x14ac:dyDescent="0.25">
      <c r="A21" s="127" t="s">
        <v>163</v>
      </c>
      <c r="B21" s="127" t="s">
        <v>60</v>
      </c>
      <c r="C21" s="127" t="s">
        <v>79</v>
      </c>
      <c r="D21" s="127" t="s">
        <v>34</v>
      </c>
      <c r="E21" s="127" t="s">
        <v>73</v>
      </c>
      <c r="F21" s="127" t="str">
        <f>+VLOOKUP(A21,'Estado SCI'!$A$16:$I$59,9,0)</f>
        <v>Mantenimiento del control</v>
      </c>
      <c r="G21" s="127">
        <f>+VLOOKUP(A21,'Estado SCI'!$A$16:$L$59,12,0)</f>
        <v>40.234567891200001</v>
      </c>
      <c r="H21" s="127">
        <f t="shared" si="0"/>
        <v>20</v>
      </c>
      <c r="I21" s="127" t="str">
        <f>+IF(VLOOKUP(A21,'Estado SCI'!$A$16:$G$59,7,0)="","",VLOOKUP(A21,'Estado SCI'!$A$16:$G$59,7,0))</f>
        <v>Si</v>
      </c>
      <c r="J21" s="128">
        <f t="shared" si="2"/>
        <v>1</v>
      </c>
      <c r="K21" s="129">
        <f t="shared" si="1"/>
        <v>0.9</v>
      </c>
    </row>
    <row r="22" spans="1:11" ht="15" customHeight="1" x14ac:dyDescent="0.25">
      <c r="A22" s="127" t="s">
        <v>164</v>
      </c>
      <c r="B22" s="127" t="s">
        <v>60</v>
      </c>
      <c r="C22" s="127" t="s">
        <v>87</v>
      </c>
      <c r="D22" s="127" t="s">
        <v>36</v>
      </c>
      <c r="E22" s="127" t="s">
        <v>74</v>
      </c>
      <c r="F22" s="127" t="str">
        <f>+VLOOKUP(A22,'Estado SCI'!$A$16:$I$59,9,0)</f>
        <v>Mantenimiento del control</v>
      </c>
      <c r="G22" s="127">
        <f>+VLOOKUP(A22,'Estado SCI'!$A$16:$L$59,12,0)</f>
        <v>40.23456789123</v>
      </c>
      <c r="H22" s="127">
        <f t="shared" si="0"/>
        <v>21</v>
      </c>
      <c r="I22" s="127" t="str">
        <f>+IF(VLOOKUP(A22,'Estado SCI'!$A$16:$G$59,7,0)="","",VLOOKUP(A22,'Estado SCI'!$A$16:$G$59,7,0))</f>
        <v>Si</v>
      </c>
      <c r="J22" s="128">
        <f t="shared" si="2"/>
        <v>1</v>
      </c>
      <c r="K22" s="129">
        <f t="shared" si="1"/>
        <v>0.9</v>
      </c>
    </row>
    <row r="23" spans="1:11" ht="15" customHeight="1" x14ac:dyDescent="0.25">
      <c r="A23" s="127" t="s">
        <v>165</v>
      </c>
      <c r="B23" s="127" t="s">
        <v>60</v>
      </c>
      <c r="C23" s="127" t="s">
        <v>87</v>
      </c>
      <c r="D23" s="127" t="s">
        <v>39</v>
      </c>
      <c r="E23" s="127" t="s">
        <v>76</v>
      </c>
      <c r="F23" s="127" t="str">
        <f>+VLOOKUP(A23,'Estado SCI'!$A$16:$I$59,9,0)</f>
        <v>Mantenimiento del control</v>
      </c>
      <c r="G23" s="127">
        <f>+VLOOKUP(A23,'Estado SCI'!$A$16:$L$59,12,0)</f>
        <v>40.234567891234001</v>
      </c>
      <c r="H23" s="127">
        <f t="shared" si="0"/>
        <v>22</v>
      </c>
      <c r="I23" s="127" t="str">
        <f>+IF(VLOOKUP(A23,'Estado SCI'!$A$16:$G$59,7,0)="","",VLOOKUP(A23,'Estado SCI'!$A$16:$G$59,7,0))</f>
        <v>Si</v>
      </c>
      <c r="J23" s="128">
        <f t="shared" si="2"/>
        <v>1</v>
      </c>
      <c r="K23" s="129">
        <f t="shared" si="1"/>
        <v>0.9</v>
      </c>
    </row>
    <row r="24" spans="1:11" ht="15" customHeight="1" x14ac:dyDescent="0.25">
      <c r="A24" s="127" t="s">
        <v>166</v>
      </c>
      <c r="B24" s="127" t="str">
        <f>+VLOOKUP(A24,'Estado SCI'!$A$16:$C$59,3,0)</f>
        <v>ACTIVIDADES DE CONTROL</v>
      </c>
      <c r="C24" s="127" t="s">
        <v>87</v>
      </c>
      <c r="D24" s="127" t="s">
        <v>34</v>
      </c>
      <c r="E24" s="127" t="s">
        <v>80</v>
      </c>
      <c r="F24" s="127" t="str">
        <f>+VLOOKUP(A24,'Estado SCI'!$A$16:$I$59,9,0)</f>
        <v>Mantenimiento del control</v>
      </c>
      <c r="G24" s="127">
        <f>+VLOOKUP(A24,'Estado SCI'!$A$16:$L$59,12,0)</f>
        <v>60.31</v>
      </c>
      <c r="H24" s="127">
        <f t="shared" si="0"/>
        <v>23</v>
      </c>
      <c r="I24" s="127" t="str">
        <f>+IF(VLOOKUP(A24,'Estado SCI'!$A$16:$G$59,7,0)="","",VLOOKUP(A24,'Estado SCI'!$A$16:$G$59,7,0))</f>
        <v>Si</v>
      </c>
      <c r="J24" s="128">
        <f t="shared" si="2"/>
        <v>1</v>
      </c>
      <c r="K24" s="129">
        <f t="shared" si="1"/>
        <v>1</v>
      </c>
    </row>
    <row r="25" spans="1:11" ht="15" customHeight="1" x14ac:dyDescent="0.25">
      <c r="A25" s="127" t="s">
        <v>167</v>
      </c>
      <c r="B25" s="127" t="s">
        <v>78</v>
      </c>
      <c r="C25" s="127" t="s">
        <v>87</v>
      </c>
      <c r="D25" s="127" t="s">
        <v>36</v>
      </c>
      <c r="E25" s="127" t="s">
        <v>81</v>
      </c>
      <c r="F25" s="127" t="str">
        <f>+VLOOKUP(A25,'Estado SCI'!$A$16:$I$59,9,0)</f>
        <v>Mantenimiento del control</v>
      </c>
      <c r="G25" s="127">
        <f>+VLOOKUP(A25,'Estado SCI'!$A$16:$L$59,12,0)</f>
        <v>60.323</v>
      </c>
      <c r="H25" s="127">
        <f t="shared" si="0"/>
        <v>24</v>
      </c>
      <c r="I25" s="127" t="str">
        <f>+IF(VLOOKUP(A25,'Estado SCI'!$A$16:$G$59,7,0)="","",VLOOKUP(A25,'Estado SCI'!$A$16:$G$59,7,0))</f>
        <v>Si</v>
      </c>
      <c r="J25" s="128">
        <f t="shared" si="2"/>
        <v>1</v>
      </c>
      <c r="K25" s="129">
        <f t="shared" si="1"/>
        <v>1</v>
      </c>
    </row>
    <row r="26" spans="1:11" ht="15" customHeight="1" x14ac:dyDescent="0.25">
      <c r="A26" s="127" t="s">
        <v>168</v>
      </c>
      <c r="B26" s="127" t="s">
        <v>78</v>
      </c>
      <c r="C26" s="127" t="s">
        <v>87</v>
      </c>
      <c r="D26" s="127" t="s">
        <v>39</v>
      </c>
      <c r="E26" s="127" t="s">
        <v>82</v>
      </c>
      <c r="F26" s="127" t="str">
        <f>+VLOOKUP(A26,'Estado SCI'!$A$16:$I$59,9,0)</f>
        <v>Mantenimiento del control</v>
      </c>
      <c r="G26" s="127">
        <f>+VLOOKUP(A26,'Estado SCI'!$A$16:$L$59,12,0)</f>
        <v>60.323999999999998</v>
      </c>
      <c r="H26" s="127">
        <f t="shared" si="0"/>
        <v>25</v>
      </c>
      <c r="I26" s="127" t="str">
        <f>+IF(VLOOKUP(A26,'Estado SCI'!$A$16:$G$59,7,0)="","",VLOOKUP(A26,'Estado SCI'!$A$16:$G$59,7,0))</f>
        <v>Si</v>
      </c>
      <c r="J26" s="128">
        <f t="shared" si="2"/>
        <v>1</v>
      </c>
      <c r="K26" s="129">
        <f t="shared" si="1"/>
        <v>1</v>
      </c>
    </row>
    <row r="27" spans="1:11" ht="15.75" customHeight="1" x14ac:dyDescent="0.25">
      <c r="A27" s="127" t="s">
        <v>169</v>
      </c>
      <c r="B27" s="127" t="s">
        <v>78</v>
      </c>
      <c r="C27" s="127" t="s">
        <v>87</v>
      </c>
      <c r="D27" s="127" t="s">
        <v>41</v>
      </c>
      <c r="E27" s="127" t="s">
        <v>83</v>
      </c>
      <c r="F27" s="127" t="str">
        <f>+VLOOKUP(A27,'Estado SCI'!$A$16:$I$59,9,0)</f>
        <v>Mantenimiento del control</v>
      </c>
      <c r="G27" s="127">
        <f>+VLOOKUP(A27,'Estado SCI'!$A$16:$L$59,12,0)</f>
        <v>60.325000000000003</v>
      </c>
      <c r="H27" s="127">
        <f t="shared" si="0"/>
        <v>26</v>
      </c>
      <c r="I27" s="127" t="str">
        <f>+IF(VLOOKUP(A27,'Estado SCI'!$A$16:$G$59,7,0)="","",VLOOKUP(A27,'Estado SCI'!$A$16:$G$59,7,0))</f>
        <v>Si</v>
      </c>
      <c r="J27" s="128">
        <f t="shared" si="2"/>
        <v>1</v>
      </c>
      <c r="K27" s="129">
        <f t="shared" si="1"/>
        <v>1</v>
      </c>
    </row>
    <row r="28" spans="1:11" ht="15" customHeight="1" x14ac:dyDescent="0.25">
      <c r="A28" s="127" t="s">
        <v>170</v>
      </c>
      <c r="B28" s="127" t="s">
        <v>78</v>
      </c>
      <c r="C28" s="127" t="s">
        <v>97</v>
      </c>
      <c r="D28" s="127" t="s">
        <v>43</v>
      </c>
      <c r="E28" s="127" t="s">
        <v>84</v>
      </c>
      <c r="F28" s="127" t="str">
        <f>+VLOOKUP(A28,'Estado SCI'!$A$16:$I$59,9,0)</f>
        <v>Mantenimiento del control</v>
      </c>
      <c r="G28" s="127">
        <f>+VLOOKUP(A28,'Estado SCI'!$A$16:$L$59,12,0)</f>
        <v>60.326000000000001</v>
      </c>
      <c r="H28" s="127">
        <f t="shared" si="0"/>
        <v>27</v>
      </c>
      <c r="I28" s="127" t="str">
        <f>+IF(VLOOKUP(A28,'Estado SCI'!$A$16:$G$59,7,0)="","",VLOOKUP(A28,'Estado SCI'!$A$16:$G$59,7,0))</f>
        <v>Si</v>
      </c>
      <c r="J28" s="128">
        <f t="shared" si="2"/>
        <v>1</v>
      </c>
      <c r="K28" s="129">
        <f t="shared" si="1"/>
        <v>1</v>
      </c>
    </row>
    <row r="29" spans="1:11" ht="15" customHeight="1" x14ac:dyDescent="0.25">
      <c r="A29" s="127" t="s">
        <v>171</v>
      </c>
      <c r="B29" s="127" t="str">
        <f>+VLOOKUP(A29,'Estado SCI'!$A$16:$C$59,3,0)</f>
        <v>INFORMACION Y COMUNICACIÓN</v>
      </c>
      <c r="C29" s="127" t="s">
        <v>97</v>
      </c>
      <c r="D29" s="127" t="s">
        <v>34</v>
      </c>
      <c r="E29" s="127" t="s">
        <v>88</v>
      </c>
      <c r="F29" s="127" t="str">
        <f>+VLOOKUP(A29,'Estado SCI'!$A$16:$I$59,9,0)</f>
        <v>Mantenimiento del control</v>
      </c>
      <c r="G29" s="127">
        <f>+VLOOKUP(A29,'Estado SCI'!$A$16:$L$59,12,0)</f>
        <v>80.412000000000006</v>
      </c>
      <c r="H29" s="127">
        <f t="shared" si="0"/>
        <v>28</v>
      </c>
      <c r="I29" s="127" t="str">
        <f>+IF(VLOOKUP(A29,'Estado SCI'!$A$16:$G$59,7,0)="","",VLOOKUP(A29,'Estado SCI'!$A$16:$G$59,7,0))</f>
        <v>Si</v>
      </c>
      <c r="J29" s="128">
        <f t="shared" si="2"/>
        <v>1</v>
      </c>
      <c r="K29" s="129">
        <f t="shared" si="1"/>
        <v>1</v>
      </c>
    </row>
    <row r="30" spans="1:11" ht="15" customHeight="1" x14ac:dyDescent="0.25">
      <c r="A30" s="127" t="s">
        <v>172</v>
      </c>
      <c r="B30" s="127" t="s">
        <v>86</v>
      </c>
      <c r="C30" s="127" t="s">
        <v>97</v>
      </c>
      <c r="D30" s="127" t="s">
        <v>36</v>
      </c>
      <c r="E30" s="127" t="s">
        <v>89</v>
      </c>
      <c r="F30" s="127" t="str">
        <f>+VLOOKUP(A30,'Estado SCI'!$A$16:$I$59,9,0)</f>
        <v>Mantenimiento del control</v>
      </c>
      <c r="G30" s="127">
        <f>+VLOOKUP(A30,'Estado SCI'!$A$16:$L$59,12,0)</f>
        <v>80.412300000000002</v>
      </c>
      <c r="H30" s="127">
        <f t="shared" si="0"/>
        <v>29</v>
      </c>
      <c r="I30" s="127" t="str">
        <f>+IF(VLOOKUP(A30,'Estado SCI'!$A$16:$G$59,7,0)="","",VLOOKUP(A30,'Estado SCI'!$A$16:$G$59,7,0))</f>
        <v>Si</v>
      </c>
      <c r="J30" s="128">
        <f t="shared" si="2"/>
        <v>1</v>
      </c>
      <c r="K30" s="129">
        <f t="shared" si="1"/>
        <v>1</v>
      </c>
    </row>
    <row r="31" spans="1:11" ht="15.75" customHeight="1" x14ac:dyDescent="0.25">
      <c r="A31" s="127" t="s">
        <v>173</v>
      </c>
      <c r="B31" s="127" t="s">
        <v>86</v>
      </c>
      <c r="C31" s="127" t="s">
        <v>97</v>
      </c>
      <c r="D31" s="127" t="s">
        <v>39</v>
      </c>
      <c r="E31" s="127" t="s">
        <v>90</v>
      </c>
      <c r="F31" s="127" t="str">
        <f>+VLOOKUP(A31,'Estado SCI'!$A$16:$I$59,9,0)</f>
        <v>Mantenimiento del control</v>
      </c>
      <c r="G31" s="127">
        <f>+VLOOKUP(A31,'Estado SCI'!$A$16:$L$59,12,0)</f>
        <v>80.41234</v>
      </c>
      <c r="H31" s="127">
        <f t="shared" si="0"/>
        <v>30</v>
      </c>
      <c r="I31" s="127" t="str">
        <f>+IF(VLOOKUP(A31,'Estado SCI'!$A$16:$G$59,7,0)="","",VLOOKUP(A31,'Estado SCI'!$A$16:$G$59,7,0))</f>
        <v>Si</v>
      </c>
      <c r="J31" s="128">
        <f t="shared" si="2"/>
        <v>1</v>
      </c>
      <c r="K31" s="129">
        <f t="shared" si="1"/>
        <v>1</v>
      </c>
    </row>
    <row r="32" spans="1:11" x14ac:dyDescent="0.25">
      <c r="A32" s="127" t="s">
        <v>174</v>
      </c>
      <c r="B32" s="127" t="s">
        <v>86</v>
      </c>
      <c r="C32" s="127" t="s">
        <v>103</v>
      </c>
      <c r="D32" s="127" t="s">
        <v>41</v>
      </c>
      <c r="E32" s="127" t="s">
        <v>91</v>
      </c>
      <c r="F32" s="127" t="str">
        <f>+VLOOKUP(A32,'Estado SCI'!$A$16:$I$59,9,0)</f>
        <v>Mantenimiento del control</v>
      </c>
      <c r="G32" s="127">
        <f>+VLOOKUP(A32,'Estado SCI'!$A$16:$L$59,12,0)</f>
        <v>80.412345000000002</v>
      </c>
      <c r="H32" s="127">
        <f t="shared" si="0"/>
        <v>31</v>
      </c>
      <c r="I32" s="127" t="str">
        <f>+IF(VLOOKUP(A32,'Estado SCI'!$A$16:$G$59,7,0)="","",VLOOKUP(A32,'Estado SCI'!$A$16:$G$59,7,0))</f>
        <v>Si</v>
      </c>
      <c r="J32" s="128">
        <f t="shared" si="2"/>
        <v>1</v>
      </c>
      <c r="K32" s="129">
        <f t="shared" si="1"/>
        <v>1</v>
      </c>
    </row>
    <row r="33" spans="1:11" x14ac:dyDescent="0.25">
      <c r="A33" s="127" t="s">
        <v>175</v>
      </c>
      <c r="B33" s="127" t="s">
        <v>86</v>
      </c>
      <c r="C33" s="127" t="s">
        <v>176</v>
      </c>
      <c r="D33" s="127" t="s">
        <v>43</v>
      </c>
      <c r="E33" s="127" t="s">
        <v>92</v>
      </c>
      <c r="F33" s="127" t="str">
        <f>+VLOOKUP(A33,'Estado SCI'!$A$16:$I$59,9,0)</f>
        <v>Mantenimiento del control</v>
      </c>
      <c r="G33" s="127">
        <f>+VLOOKUP(A33,'Estado SCI'!$A$16:$L$59,12,0)</f>
        <v>80.412345599999995</v>
      </c>
      <c r="H33" s="127">
        <f t="shared" si="0"/>
        <v>32</v>
      </c>
      <c r="I33" s="127" t="str">
        <f>+IF(VLOOKUP(A33,'Estado SCI'!$A$16:$G$59,7,0)="","",VLOOKUP(A33,'Estado SCI'!$A$16:$G$59,7,0))</f>
        <v>Si</v>
      </c>
      <c r="J33" s="128">
        <f t="shared" si="2"/>
        <v>1</v>
      </c>
      <c r="K33" s="129">
        <f t="shared" si="1"/>
        <v>1</v>
      </c>
    </row>
    <row r="34" spans="1:11" x14ac:dyDescent="0.25">
      <c r="A34" s="127" t="s">
        <v>177</v>
      </c>
      <c r="B34" s="127" t="s">
        <v>86</v>
      </c>
      <c r="C34" s="127" t="s">
        <v>176</v>
      </c>
      <c r="D34" s="127" t="s">
        <v>45</v>
      </c>
      <c r="E34" s="127" t="s">
        <v>93</v>
      </c>
      <c r="F34" s="127" t="str">
        <f>+VLOOKUP(A34,'Estado SCI'!$A$16:$I$59,9,0)</f>
        <v>Mantenimiento del control</v>
      </c>
      <c r="G34" s="127">
        <f>+VLOOKUP(A34,'Estado SCI'!$A$16:$L$59,12,0)</f>
        <v>80.412345669999993</v>
      </c>
      <c r="H34" s="127">
        <f t="shared" si="0"/>
        <v>33</v>
      </c>
      <c r="I34" s="127" t="str">
        <f>+IF(VLOOKUP(A34,'Estado SCI'!$A$16:$G$59,7,0)="","",VLOOKUP(A34,'Estado SCI'!$A$16:$G$59,7,0))</f>
        <v>Si</v>
      </c>
      <c r="J34" s="128">
        <f t="shared" si="2"/>
        <v>1</v>
      </c>
      <c r="K34" s="129">
        <f t="shared" si="1"/>
        <v>1</v>
      </c>
    </row>
    <row r="35" spans="1:11" x14ac:dyDescent="0.25">
      <c r="A35" s="127" t="s">
        <v>178</v>
      </c>
      <c r="B35" s="127" t="s">
        <v>86</v>
      </c>
      <c r="C35" s="127" t="s">
        <v>176</v>
      </c>
      <c r="D35" s="127" t="s">
        <v>47</v>
      </c>
      <c r="E35" s="127" t="s">
        <v>94</v>
      </c>
      <c r="F35" s="127" t="str">
        <f>+VLOOKUP(A35,'Estado SCI'!$A$16:$I$59,9,0)</f>
        <v>Mantenimiento del control</v>
      </c>
      <c r="G35" s="127">
        <f>+VLOOKUP(A35,'Estado SCI'!$A$16:$L$59,12,0)</f>
        <v>80.412345677999994</v>
      </c>
      <c r="H35" s="127">
        <f t="shared" si="0"/>
        <v>34</v>
      </c>
      <c r="I35" s="127" t="str">
        <f>+IF(VLOOKUP(A35,'Estado SCI'!$A$16:$G$59,7,0)="","",VLOOKUP(A35,'Estado SCI'!$A$16:$G$59,7,0))</f>
        <v>Si</v>
      </c>
      <c r="J35" s="128">
        <f t="shared" si="2"/>
        <v>1</v>
      </c>
      <c r="K35" s="129">
        <f t="shared" si="1"/>
        <v>1</v>
      </c>
    </row>
    <row r="36" spans="1:11" x14ac:dyDescent="0.25">
      <c r="A36" s="127" t="s">
        <v>179</v>
      </c>
      <c r="B36" s="127" t="str">
        <f>+VLOOKUP(A36,'Estado SCI'!$A$16:$C$59,3,0)</f>
        <v>ACTIVIDADES DE MONITOREO</v>
      </c>
      <c r="C36" s="127" t="s">
        <v>176</v>
      </c>
      <c r="D36" s="127" t="s">
        <v>34</v>
      </c>
      <c r="E36" s="127" t="s">
        <v>98</v>
      </c>
      <c r="F36" s="127" t="str">
        <f>+VLOOKUP(A36,'Estado SCI'!$A$16:$I$59,9,0)</f>
        <v>Mantenimiento del control</v>
      </c>
      <c r="G36" s="127">
        <f>+VLOOKUP(A36,'Estado SCI'!$A$16:$L$59,12,0)</f>
        <v>120.851</v>
      </c>
      <c r="H36" s="127">
        <f t="shared" si="0"/>
        <v>35</v>
      </c>
      <c r="I36" s="127" t="str">
        <f>+IF(VLOOKUP(A36,'Estado SCI'!$A$16:$G$59,7,0)="","",VLOOKUP(A36,'Estado SCI'!$A$16:$G$59,7,0))</f>
        <v>Si</v>
      </c>
      <c r="J36" s="128">
        <f t="shared" si="2"/>
        <v>1</v>
      </c>
      <c r="K36" s="129">
        <f t="shared" si="1"/>
        <v>1</v>
      </c>
    </row>
    <row r="37" spans="1:11" x14ac:dyDescent="0.25">
      <c r="A37" s="127" t="s">
        <v>180</v>
      </c>
      <c r="B37" s="127" t="s">
        <v>96</v>
      </c>
      <c r="C37" s="127" t="s">
        <v>176</v>
      </c>
      <c r="D37" s="127" t="s">
        <v>41</v>
      </c>
      <c r="E37" s="127" t="s">
        <v>99</v>
      </c>
      <c r="F37" s="127" t="str">
        <f>+VLOOKUP(A37,'Estado SCI'!$A$16:$I$59,9,0)</f>
        <v>Mantenimiento del control</v>
      </c>
      <c r="G37" s="127">
        <f>+VLOOKUP(A37,'Estado SCI'!$A$16:$L$59,12,0)</f>
        <v>120.85120000000001</v>
      </c>
      <c r="H37" s="127">
        <f t="shared" si="0"/>
        <v>36</v>
      </c>
      <c r="I37" s="127" t="str">
        <f>+IF(VLOOKUP(A37,'Estado SCI'!$A$16:$G$59,7,0)="","",VLOOKUP(A37,'Estado SCI'!$A$16:$G$59,7,0))</f>
        <v>Si</v>
      </c>
      <c r="J37" s="128">
        <f t="shared" si="2"/>
        <v>1</v>
      </c>
      <c r="K37" s="129">
        <f t="shared" si="1"/>
        <v>1</v>
      </c>
    </row>
    <row r="38" spans="1:11" x14ac:dyDescent="0.25">
      <c r="A38" s="127" t="s">
        <v>181</v>
      </c>
      <c r="B38" s="127" t="s">
        <v>96</v>
      </c>
      <c r="C38" s="127" t="s">
        <v>67</v>
      </c>
      <c r="D38" s="127" t="s">
        <v>45</v>
      </c>
      <c r="E38" s="127" t="s">
        <v>100</v>
      </c>
      <c r="F38" s="127" t="str">
        <f>+VLOOKUP(A38,'Estado SCI'!$A$16:$I$59,9,0)</f>
        <v>Mantenimiento del control</v>
      </c>
      <c r="G38" s="127">
        <f>+VLOOKUP(A38,'Estado SCI'!$A$16:$L$59,12,0)</f>
        <v>120.85123</v>
      </c>
      <c r="H38" s="127">
        <f t="shared" si="0"/>
        <v>37</v>
      </c>
      <c r="I38" s="127" t="str">
        <f>+IF(VLOOKUP(A38,'Estado SCI'!$A$16:$G$59,7,0)="","",VLOOKUP(A38,'Estado SCI'!$A$16:$G$59,7,0))</f>
        <v>Si</v>
      </c>
      <c r="J38" s="128">
        <f t="shared" si="2"/>
        <v>1</v>
      </c>
      <c r="K38" s="129">
        <f t="shared" si="1"/>
        <v>1</v>
      </c>
    </row>
    <row r="39" spans="1:11" x14ac:dyDescent="0.25">
      <c r="A39" s="127" t="s">
        <v>182</v>
      </c>
      <c r="B39" s="127" t="s">
        <v>96</v>
      </c>
      <c r="C39" s="127" t="s">
        <v>67</v>
      </c>
      <c r="D39" s="127" t="s">
        <v>47</v>
      </c>
      <c r="E39" s="127" t="s">
        <v>101</v>
      </c>
      <c r="F39" s="127" t="str">
        <f>+VLOOKUP(A39,'Estado SCI'!$A$16:$I$59,9,0)</f>
        <v>Mantenimiento del control</v>
      </c>
      <c r="G39" s="127">
        <f>+VLOOKUP(A39,'Estado SCI'!$A$16:$L$59,12,0)</f>
        <v>120.85123400000001</v>
      </c>
      <c r="H39" s="127">
        <f t="shared" si="0"/>
        <v>38</v>
      </c>
      <c r="I39" s="127" t="str">
        <f>+IF(VLOOKUP(A39,'Estado SCI'!$A$16:$G$59,7,0)="","",VLOOKUP(A39,'Estado SCI'!$A$16:$G$59,7,0))</f>
        <v>Si</v>
      </c>
      <c r="J39" s="128">
        <f t="shared" si="2"/>
        <v>1</v>
      </c>
      <c r="K39" s="129">
        <f t="shared" si="1"/>
        <v>1</v>
      </c>
    </row>
    <row r="40" spans="1:11" x14ac:dyDescent="0.25">
      <c r="A40" s="127" t="s">
        <v>183</v>
      </c>
      <c r="B40" s="127" t="s">
        <v>96</v>
      </c>
      <c r="C40" s="127" t="s">
        <v>67</v>
      </c>
      <c r="D40" s="127" t="s">
        <v>49</v>
      </c>
      <c r="E40" s="127" t="s">
        <v>104</v>
      </c>
      <c r="F40" s="127" t="str">
        <f>+VLOOKUP(A40,'Estado SCI'!$A$16:$I$59,9,0)</f>
        <v>Mantenimiento del control</v>
      </c>
      <c r="G40" s="127">
        <f>+VLOOKUP(A40,'Estado SCI'!$A$16:$L$59,12,0)</f>
        <v>120.8512345</v>
      </c>
      <c r="H40" s="127">
        <f t="shared" si="0"/>
        <v>39</v>
      </c>
      <c r="I40" s="127" t="str">
        <f>+IF(VLOOKUP(A40,'Estado SCI'!$A$16:$G$59,7,0)="","",VLOOKUP(A40,'Estado SCI'!$A$16:$G$59,7,0))</f>
        <v>Si</v>
      </c>
      <c r="J40" s="128">
        <f t="shared" si="2"/>
        <v>1</v>
      </c>
      <c r="K40" s="129">
        <f t="shared" si="1"/>
        <v>1</v>
      </c>
    </row>
    <row r="41" spans="1:11" x14ac:dyDescent="0.25">
      <c r="A41" s="127" t="s">
        <v>184</v>
      </c>
      <c r="B41" s="127" t="s">
        <v>96</v>
      </c>
      <c r="C41" s="127" t="s">
        <v>67</v>
      </c>
      <c r="D41" s="127" t="s">
        <v>34</v>
      </c>
      <c r="E41" s="127" t="s">
        <v>107</v>
      </c>
      <c r="F41" s="127" t="str">
        <f>+VLOOKUP(A41,'Estado SCI'!$A$16:$I$59,9,0)</f>
        <v>Mantenimiento del control</v>
      </c>
      <c r="G41" s="127">
        <f>+VLOOKUP(A41,'Estado SCI'!$A$16:$L$59,12,0)</f>
        <v>120.85123455999999</v>
      </c>
      <c r="H41" s="127">
        <f t="shared" si="0"/>
        <v>40</v>
      </c>
      <c r="I41" s="127" t="str">
        <f>+IF(VLOOKUP(A41,'Estado SCI'!$A$16:$G$59,7,0)="","",VLOOKUP(A41,'Estado SCI'!$A$16:$G$59,7,0))</f>
        <v>Si</v>
      </c>
      <c r="J41" s="128">
        <f t="shared" si="2"/>
        <v>1</v>
      </c>
      <c r="K41" s="129">
        <f t="shared" si="1"/>
        <v>1</v>
      </c>
    </row>
    <row r="42" spans="1:11" x14ac:dyDescent="0.25">
      <c r="A42" s="127" t="s">
        <v>185</v>
      </c>
      <c r="B42" s="127" t="s">
        <v>96</v>
      </c>
      <c r="C42" s="127" t="s">
        <v>72</v>
      </c>
      <c r="D42" s="127" t="s">
        <v>36</v>
      </c>
      <c r="E42" s="127" t="s">
        <v>108</v>
      </c>
      <c r="F42" s="127" t="str">
        <f>+VLOOKUP(A42,'Estado SCI'!$A$16:$I$59,9,0)</f>
        <v>Mantenimiento del control</v>
      </c>
      <c r="G42" s="127">
        <f>+VLOOKUP(A42,'Estado SCI'!$A$16:$L$59,12,0)</f>
        <v>120.85123456700001</v>
      </c>
      <c r="H42" s="127">
        <f t="shared" si="0"/>
        <v>41</v>
      </c>
      <c r="I42" s="127" t="str">
        <f>+IF(VLOOKUP(A42,'Estado SCI'!$A$16:$G$59,7,0)="","",VLOOKUP(A42,'Estado SCI'!$A$16:$G$59,7,0))</f>
        <v>Si</v>
      </c>
      <c r="J42" s="128">
        <f t="shared" si="2"/>
        <v>1</v>
      </c>
      <c r="K42" s="129">
        <f t="shared" si="1"/>
        <v>1</v>
      </c>
    </row>
    <row r="43" spans="1:11" x14ac:dyDescent="0.25">
      <c r="A43" s="127" t="s">
        <v>186</v>
      </c>
      <c r="B43" s="127" t="s">
        <v>96</v>
      </c>
      <c r="C43" s="127" t="s">
        <v>72</v>
      </c>
      <c r="D43" s="127" t="s">
        <v>39</v>
      </c>
      <c r="E43" s="127" t="s">
        <v>109</v>
      </c>
      <c r="F43" s="127" t="str">
        <f>+VLOOKUP(A43,'Estado SCI'!$A$16:$I$59,9,0)</f>
        <v>Mantenimiento del control</v>
      </c>
      <c r="G43" s="127">
        <f>+VLOOKUP(A43,'Estado SCI'!$A$16:$L$59,12,0)</f>
        <v>120.85123456780001</v>
      </c>
      <c r="H43" s="127">
        <f t="shared" si="0"/>
        <v>42</v>
      </c>
      <c r="I43" s="127" t="str">
        <f>+IF(VLOOKUP(A43,'Estado SCI'!$A$16:$G$59,7,0)="","",VLOOKUP(A43,'Estado SCI'!$A$16:$G$59,7,0))</f>
        <v>Si</v>
      </c>
      <c r="J43" s="128">
        <f t="shared" si="2"/>
        <v>1</v>
      </c>
      <c r="K43" s="129">
        <f t="shared" si="1"/>
        <v>1</v>
      </c>
    </row>
    <row r="44" spans="1:11" x14ac:dyDescent="0.25">
      <c r="A44" s="127" t="s">
        <v>187</v>
      </c>
      <c r="B44" s="127" t="s">
        <v>96</v>
      </c>
      <c r="C44" s="127" t="s">
        <v>72</v>
      </c>
      <c r="D44" s="127" t="s">
        <v>41</v>
      </c>
      <c r="E44" s="127" t="s">
        <v>110</v>
      </c>
      <c r="F44" s="127" t="str">
        <f>+VLOOKUP(A44,'Estado SCI'!$A$16:$I$59,9,0)</f>
        <v>Mantenimiento del control</v>
      </c>
      <c r="G44" s="127">
        <f>+VLOOKUP(A44,'Estado SCI'!$A$16:$L$59,12,0)</f>
        <v>120.85123456789</v>
      </c>
      <c r="H44" s="127">
        <f t="shared" si="0"/>
        <v>43</v>
      </c>
      <c r="I44" s="127" t="str">
        <f>+IF(VLOOKUP(A44,'Estado SCI'!$A$16:$G$59,7,0)="","",VLOOKUP(A44,'Estado SCI'!$A$16:$G$59,7,0))</f>
        <v>Si</v>
      </c>
      <c r="J44" s="128">
        <f t="shared" si="2"/>
        <v>1</v>
      </c>
      <c r="K44" s="129">
        <f t="shared" si="1"/>
        <v>1</v>
      </c>
    </row>
    <row r="45" spans="1:11" x14ac:dyDescent="0.25">
      <c r="A45" s="127" t="s">
        <v>188</v>
      </c>
      <c r="B45" s="127" t="s">
        <v>96</v>
      </c>
      <c r="C45" s="127" t="s">
        <v>72</v>
      </c>
      <c r="D45" s="127" t="s">
        <v>43</v>
      </c>
      <c r="E45" s="127" t="s">
        <v>111</v>
      </c>
      <c r="F45" s="127" t="str">
        <f>+VLOOKUP(A45,'Estado SCI'!$A$16:$I$59,9,0)</f>
        <v>Mantenimiento del control</v>
      </c>
      <c r="G45" s="127">
        <f>+VLOOKUP(A45,'Estado SCI'!$A$16:$L$59,12,0)</f>
        <v>120.851234567891</v>
      </c>
      <c r="H45" s="127">
        <f t="shared" si="0"/>
        <v>44</v>
      </c>
      <c r="I45" s="127" t="str">
        <f>+IF(VLOOKUP(A45,'Estado SCI'!$A$16:$G$59,7,0)="","",VLOOKUP(A45,'Estado SCI'!$A$16:$G$59,7,0))</f>
        <v>Si</v>
      </c>
      <c r="J45" s="128">
        <f t="shared" si="2"/>
        <v>1</v>
      </c>
      <c r="K45" s="129">
        <f t="shared" si="1"/>
        <v>1</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Instructivo</vt:lpstr>
      <vt:lpstr>Estado SCI</vt:lpstr>
      <vt:lpstr>Análisis Resultados</vt:lpstr>
      <vt:lpstr>Conclusión</vt:lpstr>
      <vt:lpstr>Hoja1</vt:lpstr>
      <vt:lpstr>'Análisis Resultados'!Títulos_a_imprimir</vt:lpstr>
      <vt:lpstr>Conclusión!Títulos_a_imprimir</vt:lpstr>
      <vt:lpstr>'Estado SCI'!Títulos_a_imprimir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USER</cp:lastModifiedBy>
  <cp:revision/>
  <cp:lastPrinted>2022-04-22T12:26:49Z</cp:lastPrinted>
  <dcterms:created xsi:type="dcterms:W3CDTF">2020-04-28T13:58:09Z</dcterms:created>
  <dcterms:modified xsi:type="dcterms:W3CDTF">2023-08-23T19:46:10Z</dcterms:modified>
  <cp:category/>
  <cp:contentStatus/>
</cp:coreProperties>
</file>